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6.xml.rels" ContentType="application/vnd.openxmlformats-package.relationships+xml"/>
  <Override PartName="/xl/worksheets/_rels/sheet2.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9.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0_Anleitung" sheetId="1" state="visible" r:id="rId3"/>
    <sheet name="01_Kontenplan" sheetId="2" state="visible" r:id="rId4"/>
    <sheet name="02_Buchungsjournal" sheetId="3" state="visible" r:id="rId5"/>
    <sheet name="03_Bilanz" sheetId="4" state="visible" r:id="rId6"/>
    <sheet name="04_Erfolgsrechnung" sheetId="5" state="visible" r:id="rId7"/>
    <sheet name="05_Anhang" sheetId="6" state="visible" r:id="rId8"/>
    <sheet name="06_BKP_Kostentraeger" sheetId="7" state="visible" r:id="rId9"/>
    <sheet name="07_Kaufpreis_Land" sheetId="8" state="visible" r:id="rId10"/>
    <sheet name="08_Werthaltigkeit" sheetId="9" state="visible" r:id="rId11"/>
    <sheet name="09_Verdecktes_EK" sheetId="10" state="visible" r:id="rId12"/>
    <sheet name="10_EK_Sim_Tetris" sheetId="11" state="visible" r:id="rId13"/>
    <sheet name="11_EK_Sim_Skyline" sheetId="12" state="visible" r:id="rId14"/>
    <sheet name="12_Kapitalerhoehung" sheetId="13" state="visible" r:id="rId15"/>
    <sheet name="13_Gesamtinvestition" sheetId="14" state="visible" r:id="rId16"/>
    <sheet name="14_Belegverzeichnis" sheetId="15" state="visible" r:id="rId17"/>
    <sheet name="15_Offene_Punkte" sheetId="16" state="visible" r:id="rId18"/>
    <sheet name="16_Bexio_Import" sheetId="17" state="visible" r:id="rId19"/>
    <sheet name="17_Aenderungsprotokoll" sheetId="18" state="visible" r:id="rId20"/>
  </sheets>
  <definedNames>
    <definedName function="false" hidden="true" localSheetId="1" name="_xlnm._FilterDatabase" vbProcedure="false">01_Kontenplan!$A$5:$E$69</definedName>
    <definedName function="false" hidden="true" localSheetId="15" name="_xlnm._FilterDatabase" vbProcedure="false">15_Offene_Punkte!$A$3:$F$21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<sst xmlns="http://schemas.openxmlformats.org/spreadsheetml/2006/main" count="1865" uniqueCount="1172">
  <si>
    <t xml:space="preserve">TETRIS AG — Zwischenabschluss per 30. Juni 2026</t>
  </si>
  <si>
    <t xml:space="preserve">Arbeitsmappe für Fritz Beck, Buchhalter · Version 3.0 · Stand 01.09.2026 · Alle Beträge in CHF</t>
  </si>
  <si>
    <t xml:space="preserve">1 · STAMMDATEN</t>
  </si>
  <si>
    <t xml:space="preserve">Gesellschaft</t>
  </si>
  <si>
    <t xml:space="preserve">Tetris AG</t>
  </si>
  <si>
    <t xml:space="preserve">UID</t>
  </si>
  <si>
    <t xml:space="preserve">CHE-218.842.608</t>
  </si>
  <si>
    <t xml:space="preserve">Sitz / Domizil</t>
  </si>
  <si>
    <t xml:space="preserve">Gustav-Siber-Weg 4, 8700 Küsnacht ZH</t>
  </si>
  <si>
    <t xml:space="preserve">Gründung / HR-Eintrag</t>
  </si>
  <si>
    <t xml:space="preserve">27.03.2025 / 07.04.2025 (CHZ-020.3.055.469-8)</t>
  </si>
  <si>
    <t xml:space="preserve">Aktienkapital</t>
  </si>
  <si>
    <t xml:space="preserve">CHF 100'000.00 — 100'000 Namenaktien à CHF 1.00, voll liberiert</t>
  </si>
  <si>
    <t xml:space="preserve">Aktionärin</t>
  </si>
  <si>
    <t xml:space="preserve">Skyline Properties GmbH, Küsnacht ZH (CHE-168.143.021), 100 %</t>
  </si>
  <si>
    <t xml:space="preserve">Verwaltungsrat</t>
  </si>
  <si>
    <t xml:space="preserve">Patrick A. Hüppi (Präsident), Cyrill R. Hüppi-Rüegg, Stephan F. Valcanover — Koll.-Unterschrift zu zweien</t>
  </si>
  <si>
    <t xml:space="preserve">Revisionsstelle</t>
  </si>
  <si>
    <t xml:space="preserve">Opting-out gemäss OR 727a Abs. 2</t>
  </si>
  <si>
    <t xml:space="preserve">Hausbank</t>
  </si>
  <si>
    <t xml:space="preserve">Bank Avera Genossenschaft, IBAN CH49 0685 0610 8039 2783 7</t>
  </si>
  <si>
    <t xml:space="preserve">Geschäftsjahr</t>
  </si>
  <si>
    <t xml:space="preserve">27.03.2025 – 31.12.2026 (erstes, verlängertes Geschäftsjahr / «Langjahr»)</t>
  </si>
  <si>
    <t xml:space="preserve">Dieser Abschluss</t>
  </si>
  <si>
    <t xml:space="preserve">30.06.2026 (Zwischenabschluss)</t>
  </si>
  <si>
    <t xml:space="preserve">Projekt</t>
  </si>
  <si>
    <t xml:space="preserve">Campus Elgg, Stämpfelfeld / Obermühle, 8353 Elgg — 1. Etappe Gebäude A/B/C</t>
  </si>
  <si>
    <t xml:space="preserve">2 · WAS DIESER ABSCHLUSS IST — UND WAS NICHT</t>
  </si>
  <si>
    <t xml:space="preserve">Für 2025 wird kein Jahresabschluss erstellt. Das erste Geschäftsjahr der Tetris AG läuft vom 27.03.2025 bis 31.12.2026 («Langjahr»). Der vorliegende Abschluss per 30.06.2026 ist ein ZWISCHENABSCHLUSS innerhalb dieses Geschäftsjahres. Er dient der Bankfinanzierung, der Führung und der Dokumentation gegenüber Dritten — er ersetzt nicht den Jahresabschluss per 31.12.2026, der von der Generalversammlung zu genehmigen ist. Die Erfolgsrechnung zeigt deshalb die kumulierte Periode 27.03.2025 bis 30.06.2026 (15 Monate).</t>
  </si>
  <si>
    <t xml:space="preserve">3 · DIE ZENTRALE BUCHUNGSFRAGE — AUFWAND ODER AKTIVIERUNG</t>
  </si>
  <si>
    <t xml:space="preserve">Fritz Beck hat recht: Projektleistungen werden nicht als Aufwand belassen, sondern aktiviert. Die Geschäftsleitung will die Kosten gleichzeitig in der Erfolgsrechnung sichtbar haben. Beides ist zugleich erfüllbar — mit dem Gesamtkostenverfahren:  (1) Jede Leistung wird zuerst auf ihrem Aufwandkonto erfasst (4000.10, 4400.10, 4400.30). (2) Am Stichtag wird der aktivierungsfähige Teil über das Konto 3700 «Aktivierte Eigen- und Fremdleistungen» in die Anlagen im Bau (1610.xx) umgebucht.  Ergebnis: Die Erfolgsrechnung zeigt sämtliche Projektkosten in voller Höhe, die Bilanz zeigt das Aktivum, und das Periodenergebnis wird durch die Aktivierung nicht verfälscht. Die Buchungen 15, 16 und 17 im Journal sind genau diese Aktivierungsbuchungen.</t>
  </si>
  <si>
    <t xml:space="preserve">Einfachere Alternative, falls in Bexio gewünscht: Direktaktivierung — die Leistungen werden ohne Umweg über die Erfolgsrechnung direkt gebucht (z. B. 1610.00 an 2450.10). Das Ergebnis in Bilanz und Eigenkapital ist identisch; die Erfolgsrechnung zeigt dann jedoch keine Projektkosten mehr. Empfehlung: Gesamtkostenverfahren beibehalten.</t>
  </si>
  <si>
    <t xml:space="preserve">4 · GETROFFENE ENTSCHEIDE UND FESTLEGUNGEN (VERWALTUNGSRAT, 12.08.2026)</t>
  </si>
  <si>
    <t xml:space="preserve">Thema</t>
  </si>
  <si>
    <t xml:space="preserve">Entscheid</t>
  </si>
  <si>
    <t xml:space="preserve">Begründung / Konsequenz</t>
  </si>
  <si>
    <t xml:space="preserve">Landkauf</t>
  </si>
  <si>
    <t xml:space="preserve">Bilanzieren mit Verbindlichkeit gegenüber den Verkäuferinnen</t>
  </si>
  <si>
    <t xml:space="preserve">Wirtschaftliche Betrachtung: beidseitig verbindlicher, öffentlich beurkundeter Kaufvertrag; Erschliessungs- und Quartierplankosten gehen ab Beurkundung zulasten Tetris AG. Formell gehen Nutzen und Gefahr erst mit dem Grundbucheintrag über — dieser Umstand ist im Anhang offenzulegen.</t>
  </si>
  <si>
    <t xml:space="preserve">Entwicklungsgewinn Skyline Properties</t>
  </si>
  <si>
    <t xml:space="preserve">CHF 3'406'000 (1'250'000 Anteil Prefadom + 2'156'000 Anteil Keller)</t>
  </si>
  <si>
    <t xml:space="preserve">Betrag gemäss Entwicklungsvertrag und Whiteboard-Herleitung. Kein Geldfluss — wird als langfristiges Darlehen der Aktionärin stehen gelassen.</t>
  </si>
  <si>
    <t xml:space="preserve">Architekturleistungen</t>
  </si>
  <si>
    <t xml:space="preserve">CHF 1'960'000 Urbanstreet Development AG inkl. Subplaner</t>
  </si>
  <si>
    <t xml:space="preserve">Vorprojekt, Bauprojekt und Ausschreibungsprojekt, Anteil 1. Etappe bis Q2 2026. Kein Geldfluss — als langfristiges Darlehen stehen gelassen. Betragshöhe ist noch final zu bestätigen (Pendenz P-12).</t>
  </si>
  <si>
    <t xml:space="preserve">Mehrwertsteuer</t>
  </si>
  <si>
    <t xml:space="preserve">Tetris AG ist nicht MWST-registriert — alle Beträge brutto</t>
  </si>
  <si>
    <t xml:space="preserve">Freiwillige Unterstellung nach Art. 11 MWSTG ist dringend zu prüfen (Pendenz P-04). Die Einlageentsteuerung nach Art. 32 MWSTG verliert bei Dienstleistungen 20 % pro Jahr.</t>
  </si>
  <si>
    <t xml:space="preserve">Abschlussart</t>
  </si>
  <si>
    <t xml:space="preserve">Zwischenabschluss per 30.06.2026 im Langjahr bis 31.12.2026</t>
  </si>
  <si>
    <t xml:space="preserve">Kein Jahresabschluss 2025. Bilanzstichtag bleibt der 31.12.2026.</t>
  </si>
  <si>
    <t xml:space="preserve">5 · AUFBAU DER ARBEITSMAPPE</t>
  </si>
  <si>
    <t xml:space="preserve">Blatt</t>
  </si>
  <si>
    <t xml:space="preserve">Inhalt</t>
  </si>
  <si>
    <t xml:space="preserve">Für wen</t>
  </si>
  <si>
    <t xml:space="preserve">01_Kontenplan</t>
  </si>
  <si>
    <t xml:space="preserve">Kontenplan für Bexio, abgeleitet vom KMU-Kontenrahmen, ergänzt um BKP-Unterkonten</t>
  </si>
  <si>
    <t xml:space="preserve">Fritz Beck</t>
  </si>
  <si>
    <t xml:space="preserve">02_Buchungsjournal</t>
  </si>
  <si>
    <t xml:space="preserve">Alle 18 Buchungssätze der Periode mit Soll, Haben, Betrag, Beleg und BKP-Zuordnung</t>
  </si>
  <si>
    <t xml:space="preserve">03_Bilanz</t>
  </si>
  <si>
    <t xml:space="preserve">Bilanz per 30.06.2026, vollständig aus dem Journal berechnet</t>
  </si>
  <si>
    <t xml:space="preserve">Fritz Beck / Bank</t>
  </si>
  <si>
    <t xml:space="preserve">04_Erfolgsrechnung</t>
  </si>
  <si>
    <t xml:space="preserve">Erfolgsrechnung 27.03.2025–30.06.2026, vollständig aus dem Journal berechnet</t>
  </si>
  <si>
    <t xml:space="preserve">05_Anhang</t>
  </si>
  <si>
    <t xml:space="preserve">Anhang zum Zwischenabschluss nach OR 959c und 960f in 17 Ziffern, mit Eigenkapitalnachweis — Entwurf zur Übernahme</t>
  </si>
  <si>
    <t xml:space="preserve">Fritz Beck / VR</t>
  </si>
  <si>
    <t xml:space="preserve">06_BKP_Kostentraeger</t>
  </si>
  <si>
    <t xml:space="preserve">Projektkostenrechnung nach BKP — die Brücke zwischen Bilanz und Baukostenplan</t>
  </si>
  <si>
    <t xml:space="preserve">Projektleitung / VR</t>
  </si>
  <si>
    <t xml:space="preserve">07_Kaufpreis_Land</t>
  </si>
  <si>
    <t xml:space="preserve">Herleitung des Kaufpreises von CHF 4'862'505 aus den beiden Kaufverträgen</t>
  </si>
  <si>
    <t xml:space="preserve">08_Werthaltigkeit</t>
  </si>
  <si>
    <t xml:space="preserve">Nachweis nach OR 960a Abs. 3 — Anlagekosten pro m² gegen drei Referenzwerte</t>
  </si>
  <si>
    <t xml:space="preserve">VR / Revisor</t>
  </si>
  <si>
    <t xml:space="preserve">09_Verdecktes_EK</t>
  </si>
  <si>
    <t xml:space="preserve">Berechnung nach Kreisschreiben Nr. 6 ESTV — Steuerrisiko der Gesellschafterdarlehen</t>
  </si>
  <si>
    <t xml:space="preserve">CFO / Steuerberater</t>
  </si>
  <si>
    <t xml:space="preserve">10_EK_Sim_Tetris</t>
  </si>
  <si>
    <t xml:space="preserve">Eigenkapitalsimulation Tetris AG — drei Szenarien der Wandlung mit allen Stellhebeln</t>
  </si>
  <si>
    <t xml:space="preserve">VR / Bank</t>
  </si>
  <si>
    <t xml:space="preserve">11_EK_Sim_Skyline</t>
  </si>
  <si>
    <t xml:space="preserve">Dieselbe Transaktion aus Sicht der Skyline Properties GmbH inkl. Steuer- und Liquiditätsfolgen</t>
  </si>
  <si>
    <t xml:space="preserve">VR / Steuerberater</t>
  </si>
  <si>
    <t xml:space="preserve">12_Kapitalerhoehung</t>
  </si>
  <si>
    <t xml:space="preserve">Ablauf der Kapitalerhöhung in neun Schritten mit Kostenübersicht</t>
  </si>
  <si>
    <t xml:space="preserve">VR / Notariat</t>
  </si>
  <si>
    <t xml:space="preserve">13_Gesamtinvestition</t>
  </si>
  <si>
    <t xml:space="preserve">Investitionsübersicht 1. Etappe inkl. Erstellungskosten Methabau</t>
  </si>
  <si>
    <t xml:space="preserve">14_Belegverzeichnis</t>
  </si>
  <si>
    <t xml:space="preserve">Alle Grundlagendokumente mit Zuordnung zu den Buchungen</t>
  </si>
  <si>
    <t xml:space="preserve">15_Offene_Punkte</t>
  </si>
  <si>
    <t xml:space="preserve">18 Pendenzen mit Priorität, Verantwortlichkeit und Frist</t>
  </si>
  <si>
    <t xml:space="preserve">VR / CFO</t>
  </si>
  <si>
    <t xml:space="preserve">16_Bexio_Import</t>
  </si>
  <si>
    <t xml:space="preserve">Buchungszeilen als Erfassungsvorlage für Bexio</t>
  </si>
  <si>
    <t xml:space="preserve">17_Aenderungsprotokoll</t>
  </si>
  <si>
    <t xml:space="preserve">Was seit der ersten Fassung geändert wurde und warum — drei Versionen</t>
  </si>
  <si>
    <t xml:space="preserve">alle</t>
  </si>
  <si>
    <t xml:space="preserve">6 · LEGENDE</t>
  </si>
  <si>
    <t xml:space="preserve">Blaue Schrift = manuell erfasster Wert oder Annahme, die geändert werden darf</t>
  </si>
  <si>
    <t xml:space="preserve">Schwarze Schrift = Formel, nicht überschreiben</t>
  </si>
  <si>
    <t xml:space="preserve">Gelbe Fläche = Entscheid oder Wert, der noch bestätigt werden muss</t>
  </si>
  <si>
    <t xml:space="preserve">Grüne Fläche = geprüft und abgestimmt</t>
  </si>
  <si>
    <t xml:space="preserve">Braune Fläche = Risiko oder Rückstand</t>
  </si>
  <si>
    <t xml:space="preserve">Kontenplan Tetris AG — Vorlage für Bexio</t>
  </si>
  <si>
    <t xml:space="preserve">Aufgebaut auf dem KMU-Kontenrahmen. Unterkonten mit Punktnotation (z. B. 1600.10) bilden die BKP-Struktur und die einzelnen Gegenparteien ab. Wer in Bexio keine Unterkonten führen will, legt die Sammelkonten an und bildet die Feingliederung über das Projekt «Campus Elgg 1. Etappe» ab.</t>
  </si>
  <si>
    <t xml:space="preserve">Konto</t>
  </si>
  <si>
    <t xml:space="preserve">Bezeichnung</t>
  </si>
  <si>
    <t xml:space="preserve">Typ</t>
  </si>
  <si>
    <t xml:space="preserve">Gruppe</t>
  </si>
  <si>
    <t xml:space="preserve">Hinweis</t>
  </si>
  <si>
    <t xml:space="preserve">1000</t>
  </si>
  <si>
    <t xml:space="preserve">Kasse</t>
  </si>
  <si>
    <t xml:space="preserve">Aktiv</t>
  </si>
  <si>
    <t xml:space="preserve">Umlaufvermögen</t>
  </si>
  <si>
    <t xml:space="preserve">aktuell nicht geführt</t>
  </si>
  <si>
    <t xml:space="preserve">1020</t>
  </si>
  <si>
    <t xml:space="preserve">Bank Avera Genossenschaft CHF</t>
  </si>
  <si>
    <t xml:space="preserve">CH49 0685 0610 8039 2783 7</t>
  </si>
  <si>
    <t xml:space="preserve">1021</t>
  </si>
  <si>
    <t xml:space="preserve">Baukredit-Kontokorrent</t>
  </si>
  <si>
    <t xml:space="preserve">erst ab Finanzierungszusage eröffnen</t>
  </si>
  <si>
    <t xml:space="preserve">1100</t>
  </si>
  <si>
    <t xml:space="preserve">Forderungen aus Lieferungen und Leistungen</t>
  </si>
  <si>
    <t xml:space="preserve">1140</t>
  </si>
  <si>
    <t xml:space="preserve">Forderung gegenüber Aktionärin (Liberierung)</t>
  </si>
  <si>
    <t xml:space="preserve">per 30.06.2026 saldiert</t>
  </si>
  <si>
    <t xml:space="preserve">1170</t>
  </si>
  <si>
    <t xml:space="preserve">Vorsteuer MWST auf Material, Waren, Dienstleistungen</t>
  </si>
  <si>
    <t xml:space="preserve">erst ab MWST-Registrierung</t>
  </si>
  <si>
    <t xml:space="preserve">1171</t>
  </si>
  <si>
    <t xml:space="preserve">Vorsteuer MWST auf Investitionen und übrigem Betriebsaufwand</t>
  </si>
  <si>
    <t xml:space="preserve">1176</t>
  </si>
  <si>
    <t xml:space="preserve">Verrechnungssteuer-Guthaben</t>
  </si>
  <si>
    <t xml:space="preserve">1300</t>
  </si>
  <si>
    <t xml:space="preserve">Aktive Rechnungsabgrenzung</t>
  </si>
  <si>
    <t xml:space="preserve">1600</t>
  </si>
  <si>
    <t xml:space="preserve">Grundstücke Campus Elgg (Sammelkonto)</t>
  </si>
  <si>
    <t xml:space="preserve">Anlagevermögen</t>
  </si>
  <si>
    <t xml:space="preserve">keine Abschreibung auf Land</t>
  </si>
  <si>
    <t xml:space="preserve">1600.10</t>
  </si>
  <si>
    <t xml:space="preserve">Grundstück Kat. EL4893 Stämpfelfeld (Keller AG Ziegeleien)</t>
  </si>
  <si>
    <t xml:space="preserve">4'958 m², GB-Blatt 2598</t>
  </si>
  <si>
    <t xml:space="preserve">1600.20</t>
  </si>
  <si>
    <t xml:space="preserve">Grundstück Kat. EL4894 Gewerbezone (Keller Prefadom AG)</t>
  </si>
  <si>
    <t xml:space="preserve">6'417 m², GB-Blatt 2599</t>
  </si>
  <si>
    <t xml:space="preserve">1600.30</t>
  </si>
  <si>
    <t xml:space="preserve">Grundstück Kat. EL4894 Landwirtschaftszone</t>
  </si>
  <si>
    <t xml:space="preserve">2'251 m², nach Mutation</t>
  </si>
  <si>
    <t xml:space="preserve">1600.90</t>
  </si>
  <si>
    <t xml:space="preserve">Anschaffungsnebenkosten Grundstücke</t>
  </si>
  <si>
    <t xml:space="preserve">Notariat, Grundbuch, Vermessung</t>
  </si>
  <si>
    <t xml:space="preserve">1610</t>
  </si>
  <si>
    <t xml:space="preserve">Anlagen im Bau / Projektentwicklung Campus Elgg (Sammelkonto)</t>
  </si>
  <si>
    <t xml:space="preserve">Abschreibung erst ab Inbetriebnahme</t>
  </si>
  <si>
    <t xml:space="preserve">1610.00</t>
  </si>
  <si>
    <t xml:space="preserve">BKP 0 — Grundstück- und Entwicklungsleistungen</t>
  </si>
  <si>
    <t xml:space="preserve">Entwicklungsleistung Skyline Properties</t>
  </si>
  <si>
    <t xml:space="preserve">1610.10</t>
  </si>
  <si>
    <t xml:space="preserve">BKP 1 — Vorbereitungsarbeiten</t>
  </si>
  <si>
    <t xml:space="preserve">ab Baustart</t>
  </si>
  <si>
    <t xml:space="preserve">1610.20</t>
  </si>
  <si>
    <t xml:space="preserve">BKP 2 — Gebäude</t>
  </si>
  <si>
    <t xml:space="preserve">1610.29</t>
  </si>
  <si>
    <t xml:space="preserve">BKP 296 — Planungs- und Architekturleistungen</t>
  </si>
  <si>
    <t xml:space="preserve">Urbanstreet Development, Subplaner, Ingesa</t>
  </si>
  <si>
    <t xml:space="preserve">1610.40</t>
  </si>
  <si>
    <t xml:space="preserve">BKP 4 — Umgebung</t>
  </si>
  <si>
    <t xml:space="preserve">1610.50</t>
  </si>
  <si>
    <t xml:space="preserve">BKP 5 — Baunebenkosten, Gebühren, Versicherungen</t>
  </si>
  <si>
    <t xml:space="preserve">1610.60</t>
  </si>
  <si>
    <t xml:space="preserve">BKP 6 — Generalplanerleistungen</t>
  </si>
  <si>
    <t xml:space="preserve">1610.70</t>
  </si>
  <si>
    <t xml:space="preserve">BKP 7 — Baumanagement / Totalunternehmen</t>
  </si>
  <si>
    <t xml:space="preserve">1690</t>
  </si>
  <si>
    <t xml:space="preserve">Aktivierte Bauzinsen</t>
  </si>
  <si>
    <t xml:space="preserve">OR 960a Abs. 1 — Herstellungskosten</t>
  </si>
  <si>
    <t xml:space="preserve">2000</t>
  </si>
  <si>
    <t xml:space="preserve">Verbindlichkeiten aus Lieferungen und Leistungen (Sammelkonto)</t>
  </si>
  <si>
    <t xml:space="preserve">Passiv</t>
  </si>
  <si>
    <t xml:space="preserve">kurzfristiges FK</t>
  </si>
  <si>
    <t xml:space="preserve">2000.10</t>
  </si>
  <si>
    <t xml:space="preserve">Verbindlichkeit Landkauf Keller AG Ziegeleien</t>
  </si>
  <si>
    <t xml:space="preserve">fällig bei Eigentumsübertragung</t>
  </si>
  <si>
    <t xml:space="preserve">2000.20</t>
  </si>
  <si>
    <t xml:space="preserve">Verbindlichkeit Landkauf Keller Prefadom AG</t>
  </si>
  <si>
    <t xml:space="preserve">2100</t>
  </si>
  <si>
    <t xml:space="preserve">Kurzfristige verzinsliche Verbindlichkeiten / Baukredit</t>
  </si>
  <si>
    <t xml:space="preserve">2200</t>
  </si>
  <si>
    <t xml:space="preserve">Geschuldete MWST (Umsatzsteuer)</t>
  </si>
  <si>
    <t xml:space="preserve">2201</t>
  </si>
  <si>
    <t xml:space="preserve">Abrechnungskonto MWST ESTV</t>
  </si>
  <si>
    <t xml:space="preserve">2206</t>
  </si>
  <si>
    <t xml:space="preserve">Geschuldete Verrechnungssteuer</t>
  </si>
  <si>
    <t xml:space="preserve">2207</t>
  </si>
  <si>
    <t xml:space="preserve">Geschuldete Stempelabgaben (Emissionsabgabe)</t>
  </si>
  <si>
    <t xml:space="preserve">Kapitalerhöhung — Abrechnung mit der ESTV</t>
  </si>
  <si>
    <t xml:space="preserve">2208</t>
  </si>
  <si>
    <t xml:space="preserve">Geschuldete direkte Steuern (Gewinn-/Kapitalsteuer)</t>
  </si>
  <si>
    <t xml:space="preserve">2300</t>
  </si>
  <si>
    <t xml:space="preserve">Passive Rechnungsabgrenzung</t>
  </si>
  <si>
    <t xml:space="preserve">2450</t>
  </si>
  <si>
    <t xml:space="preserve">Darlehen (Sammelkonto, langfristig)</t>
  </si>
  <si>
    <t xml:space="preserve">langfristiges FK</t>
  </si>
  <si>
    <t xml:space="preserve">2450.10</t>
  </si>
  <si>
    <t xml:space="preserve">Darlehen Skyline Properties GmbH (Aktionärin)</t>
  </si>
  <si>
    <t xml:space="preserve">Rangrücktritt erforderlich</t>
  </si>
  <si>
    <t xml:space="preserve">2450.20</t>
  </si>
  <si>
    <t xml:space="preserve">Darlehen Urbanstreet Development AG (nahestehend)</t>
  </si>
  <si>
    <t xml:space="preserve">2451</t>
  </si>
  <si>
    <t xml:space="preserve">Hypotheken / langfristiger Baukredit</t>
  </si>
  <si>
    <t xml:space="preserve">ab Finanzierungszusage</t>
  </si>
  <si>
    <t xml:space="preserve">2800</t>
  </si>
  <si>
    <t xml:space="preserve">Eigenkapital</t>
  </si>
  <si>
    <t xml:space="preserve">100'000 Namenaktien à CHF 1.00</t>
  </si>
  <si>
    <t xml:space="preserve">2900</t>
  </si>
  <si>
    <t xml:space="preserve">Gesetzliche Kapitalreserve</t>
  </si>
  <si>
    <t xml:space="preserve">bei Agio aus Kapitalerhöhung</t>
  </si>
  <si>
    <t xml:space="preserve">2970</t>
  </si>
  <si>
    <t xml:space="preserve">Gewinn-/Verlustvortrag</t>
  </si>
  <si>
    <t xml:space="preserve">2979</t>
  </si>
  <si>
    <t xml:space="preserve">Ergebnis der Berichtsperiode</t>
  </si>
  <si>
    <t xml:space="preserve">3000</t>
  </si>
  <si>
    <t xml:space="preserve">Ertrag aus Vermietung Campus Elgg</t>
  </si>
  <si>
    <t xml:space="preserve">Ertrag</t>
  </si>
  <si>
    <t xml:space="preserve">Betriebsertrag</t>
  </si>
  <si>
    <t xml:space="preserve">ab Inbetriebnahme</t>
  </si>
  <si>
    <t xml:space="preserve">3200</t>
  </si>
  <si>
    <t xml:space="preserve">Ertrag aus Liegenschaftsverkauf</t>
  </si>
  <si>
    <t xml:space="preserve">falls Verkauf</t>
  </si>
  <si>
    <t xml:space="preserve">3700</t>
  </si>
  <si>
    <t xml:space="preserve">Aktivierte Eigen- und Fremdleistungen (Bestandesänderung Anlagen im Bau)</t>
  </si>
  <si>
    <t xml:space="preserve">Gegenkonto zur Aktivierung — SCHLÜSSELKONTO</t>
  </si>
  <si>
    <t xml:space="preserve">4000</t>
  </si>
  <si>
    <t xml:space="preserve">Projektaufwand Land und Entwicklung (Sammelkonto)</t>
  </si>
  <si>
    <t xml:space="preserve">Aufwand</t>
  </si>
  <si>
    <t xml:space="preserve">Betriebsaufwand</t>
  </si>
  <si>
    <t xml:space="preserve">4000.10</t>
  </si>
  <si>
    <t xml:space="preserve">Entwicklungsleistungen Skyline Properties GmbH</t>
  </si>
  <si>
    <t xml:space="preserve">nahestehend — Drittvergleich dokumentieren</t>
  </si>
  <si>
    <t xml:space="preserve">4400</t>
  </si>
  <si>
    <t xml:space="preserve">Planungs- und Architekturaufwand Dritte (Sammelkonto)</t>
  </si>
  <si>
    <t xml:space="preserve">4400.10</t>
  </si>
  <si>
    <t xml:space="preserve">Urbanstreet Development AG — Architektur, Bauprojekt, Ausschreibung</t>
  </si>
  <si>
    <t xml:space="preserve">4400.20</t>
  </si>
  <si>
    <t xml:space="preserve">Subplaner / Fachplaner Dritte</t>
  </si>
  <si>
    <t xml:space="preserve">4400.30</t>
  </si>
  <si>
    <t xml:space="preserve">Ingesa AG — Fachplanung Liegenschaftsentwässerung</t>
  </si>
  <si>
    <t xml:space="preserve">Vergleich per Saldo aller Ansprüche</t>
  </si>
  <si>
    <t xml:space="preserve">4500</t>
  </si>
  <si>
    <t xml:space="preserve">Baunebenkosten, Gebühren, Bewilligungen</t>
  </si>
  <si>
    <t xml:space="preserve">5000</t>
  </si>
  <si>
    <t xml:space="preserve">Personalaufwand</t>
  </si>
  <si>
    <t xml:space="preserve">aktuell 0 Vollzeitstellen</t>
  </si>
  <si>
    <t xml:space="preserve">5700</t>
  </si>
  <si>
    <t xml:space="preserve">Sozialversicherungsaufwand</t>
  </si>
  <si>
    <t xml:space="preserve">6000</t>
  </si>
  <si>
    <t xml:space="preserve">Raumaufwand / Miete Geschäftsdomizil</t>
  </si>
  <si>
    <t xml:space="preserve">wichtig gegen Qualifikation als Sitzgesellschaft</t>
  </si>
  <si>
    <t xml:space="preserve">6500</t>
  </si>
  <si>
    <t xml:space="preserve">Verwaltungsaufwand / Gründungskosten</t>
  </si>
  <si>
    <t xml:space="preserve">nicht aktivierbar — Voraussetzungen von OR 959 Abs. 2 fehlen</t>
  </si>
  <si>
    <t xml:space="preserve">6510</t>
  </si>
  <si>
    <t xml:space="preserve">Buchführung, Treuhand, Beratung</t>
  </si>
  <si>
    <t xml:space="preserve">6520</t>
  </si>
  <si>
    <t xml:space="preserve">Rechts- und Notariatskosten (nicht aktivierbar)</t>
  </si>
  <si>
    <t xml:space="preserve">6800</t>
  </si>
  <si>
    <t xml:space="preserve">Abschreibungen</t>
  </si>
  <si>
    <t xml:space="preserve">erst ab Inbetriebnahme Gebäude</t>
  </si>
  <si>
    <t xml:space="preserve">6900</t>
  </si>
  <si>
    <t xml:space="preserve">Finanzaufwand (Sammelkonto)</t>
  </si>
  <si>
    <t xml:space="preserve">Finanzerfolg</t>
  </si>
  <si>
    <t xml:space="preserve">6900.10</t>
  </si>
  <si>
    <t xml:space="preserve">Bankspesen und Kontoführungsgebühren</t>
  </si>
  <si>
    <t xml:space="preserve">6940</t>
  </si>
  <si>
    <t xml:space="preserve">Darlehenszinsen an Nahestehende</t>
  </si>
  <si>
    <t xml:space="preserve">Achtung verdecktes EK / ESTV-Zinssätze</t>
  </si>
  <si>
    <t xml:space="preserve">6950</t>
  </si>
  <si>
    <t xml:space="preserve">Finanzertrag</t>
  </si>
  <si>
    <t xml:space="preserve">8900</t>
  </si>
  <si>
    <t xml:space="preserve">Direkte Steuern</t>
  </si>
  <si>
    <t xml:space="preserve">Steuern</t>
  </si>
  <si>
    <t xml:space="preserve">Buchungsjournal 27.03.2025 – 30.06.2026</t>
  </si>
  <si>
    <t xml:space="preserve">Block A (Buchungen 1–8) ist im Entwurf 2025 bereits erfasst und wird unverändert in das Langjahr übernommen — mit einer Ausnahme: Buchung 6 wird neu direkt auf die Anschaffungsnebenkosten des Grundstücks gebucht statt auf «Vorauszahlung Landkauf». Block B (Buchungen 9–18) sind die neuen Abschlussbuchungen per 30.06.2026.</t>
  </si>
  <si>
    <t xml:space="preserve">Nr.</t>
  </si>
  <si>
    <t xml:space="preserve">Datum</t>
  </si>
  <si>
    <t xml:space="preserve">Buchungstext</t>
  </si>
  <si>
    <t xml:space="preserve">Beleg</t>
  </si>
  <si>
    <t xml:space="preserve">Soll</t>
  </si>
  <si>
    <t xml:space="preserve">Haben</t>
  </si>
  <si>
    <t xml:space="preserve">Betrag CHF</t>
  </si>
  <si>
    <t xml:space="preserve">BKP</t>
  </si>
  <si>
    <t xml:space="preserve">Block</t>
  </si>
  <si>
    <t xml:space="preserve">Status</t>
  </si>
  <si>
    <t xml:space="preserve">27.03.2025</t>
  </si>
  <si>
    <t xml:space="preserve">Gründung Tetris AG — Zeichnung Aktienkapital durch Skyline Properties GmbH</t>
  </si>
  <si>
    <t xml:space="preserve">Gründungsurkunde Notariat Küsnacht</t>
  </si>
  <si>
    <t xml:space="preserve">—</t>
  </si>
  <si>
    <t xml:space="preserve">A</t>
  </si>
  <si>
    <t xml:space="preserve">erfasst</t>
  </si>
  <si>
    <t xml:space="preserve">23.06.2025</t>
  </si>
  <si>
    <t xml:space="preserve">Kapitaleinzahlung Bank Avera, Valuta 23.06.2025 (netto)</t>
  </si>
  <si>
    <t xml:space="preserve">Gutschriftsanzeige Bank Avera</t>
  </si>
  <si>
    <t xml:space="preserve">Dienstleistungsentschädigung Bank Avera für Kapitaleinzahlungskonto</t>
  </si>
  <si>
    <t xml:space="preserve">29.07.2025</t>
  </si>
  <si>
    <t xml:space="preserve">Notariat Küsnacht — Gründungsgebühren (1. Zahlung)</t>
  </si>
  <si>
    <t xml:space="preserve">RE 174107.01</t>
  </si>
  <si>
    <t xml:space="preserve">28.08.2025</t>
  </si>
  <si>
    <t xml:space="preserve">Rückerstattung Notariat Küsnacht (Doppelzahlung)</t>
  </si>
  <si>
    <t xml:space="preserve">Rückerstattungsbeleg</t>
  </si>
  <si>
    <t xml:space="preserve">14.10.2025</t>
  </si>
  <si>
    <t xml:space="preserve">Notariat Elgg — Beurkundungsgebühren KV EL4893/EL4894, Anteil Tetris AG 50 %</t>
  </si>
  <si>
    <t xml:space="preserve">RE 130111.03</t>
  </si>
  <si>
    <t xml:space="preserve">BKP 0</t>
  </si>
  <si>
    <t xml:space="preserve">umgegliedert</t>
  </si>
  <si>
    <t xml:space="preserve">10.12.2025</t>
  </si>
  <si>
    <t xml:space="preserve">Vergleich Ingesa AG, Seuzach — Fachplanung Liegenschaftsentwässerung, per Saldo aller Ansprüche</t>
  </si>
  <si>
    <t xml:space="preserve">Vergleichsvereinbarung Ingesa AG</t>
  </si>
  <si>
    <t xml:space="preserve">BKP 296</t>
  </si>
  <si>
    <t xml:space="preserve">31.12.2025</t>
  </si>
  <si>
    <t xml:space="preserve">Kontoführungsgebühr Bank Avera 2025</t>
  </si>
  <si>
    <t xml:space="preserve">Kontoauszug Bank Avera</t>
  </si>
  <si>
    <t xml:space="preserve">30.06.2026</t>
  </si>
  <si>
    <t xml:space="preserve">Landerwerb Kat. EL4893 Stämpfelfeld — Keller AG Ziegeleien, Kaufpreis gem. öffentlicher Urkunde vom 11.07.2025</t>
  </si>
  <si>
    <t xml:space="preserve">KV Notariat Elgg 2025/2196</t>
  </si>
  <si>
    <t xml:space="preserve">BKP 0 / 296</t>
  </si>
  <si>
    <t xml:space="preserve">B</t>
  </si>
  <si>
    <t xml:space="preserve">NEU</t>
  </si>
  <si>
    <t xml:space="preserve">Landerwerb Kat. EL4894 Gewerbezone (6'417 m², 74 % der Fläche) — Keller Prefadom AG</t>
  </si>
  <si>
    <t xml:space="preserve">KV Notariat Elgg 11.07.2025</t>
  </si>
  <si>
    <t xml:space="preserve">Landerwerb Kat. EL4894 Landwirtschaftszone (2'251 m², 26 % der Fläche) — Keller Prefadom AG</t>
  </si>
  <si>
    <t xml:space="preserve">Entwicklungsleistung Skyline Properties GmbH — Anteil Prefadom gem. Entwicklungsvertrag</t>
  </si>
  <si>
    <t xml:space="preserve">Honorarrechnung + Entwicklungsvertrag</t>
  </si>
  <si>
    <t xml:space="preserve">Entwicklungsleistung Skyline Properties GmbH — Anteil Keller gem. Entwicklungsvertrag</t>
  </si>
  <si>
    <t xml:space="preserve">Architektur- und Planerleistungen Urbanstreet Development AG inkl. Subplaner — Vorprojekt, Bauprojekt, Ausschreibungsprojekt, Anteil 1. Etappe bis Q2 2026</t>
  </si>
  <si>
    <t xml:space="preserve">Honorarrechnung + Leistungsnachweis</t>
  </si>
  <si>
    <t xml:space="preserve">Aktivierung BKP 0 — Entwicklungsleistungen Skyline Properties in Anlagen im Bau</t>
  </si>
  <si>
    <t xml:space="preserve">Abschlussbuchung 30.06.2026</t>
  </si>
  <si>
    <t xml:space="preserve">Aktivierung BKP 296 — Architektur- und Planerleistungen Urbanstreet Development</t>
  </si>
  <si>
    <t xml:space="preserve">Aktivierung BKP 296 — Fachplanung Ingesa AG (Liegenschaftsentwässerung)</t>
  </si>
  <si>
    <t xml:space="preserve">Kontoführungsgebühren Bank Avera 01.01.–30.06.2026  ‹PLATZHALTER — gem. Kontoauszug 30.06.2026 einsetzen›</t>
  </si>
  <si>
    <t xml:space="preserve">Kontoauszug Bank Avera 30.06.2026</t>
  </si>
  <si>
    <t xml:space="preserve">PLATZHALTER</t>
  </si>
  <si>
    <t xml:space="preserve">Summe Journal</t>
  </si>
  <si>
    <t xml:space="preserve">Kontrolle: In jedem Buchungssatz stehen Soll und Haben mit demselben Betrag — die Mappe ist damit per Konstruktion im Gleichgewicht. Die Bilanz auf Blatt 03 und die Erfolgsrechnung auf Blatt 04 lesen ausschliesslich aus diesem Journal. Wer hier einen Betrag ändert, ändert automatisch alle Auswertungen.</t>
  </si>
  <si>
    <t xml:space="preserve">Bilanz per 30. Juni 2026</t>
  </si>
  <si>
    <t xml:space="preserve">Tetris AG, Küsnacht ZH · CHE-218.842.608 · in CHF · Rechnungslegung nach OR Art. 957 ff.</t>
  </si>
  <si>
    <t xml:space="preserve">Position</t>
  </si>
  <si>
    <t xml:space="preserve">Erläuterung</t>
  </si>
  <si>
    <t xml:space="preserve">CHF</t>
  </si>
  <si>
    <t xml:space="preserve">Zwischentotal CHF</t>
  </si>
  <si>
    <t xml:space="preserve">AKTIVEN</t>
  </si>
  <si>
    <t xml:space="preserve">Flüssige Mittel — Bank Avera Genossenschaft</t>
  </si>
  <si>
    <t xml:space="preserve">CH49 0685 0610 8039 2783 7; Saldo mit Kontoauszug 30.06.2026 abstimmen (P-07)</t>
  </si>
  <si>
    <t xml:space="preserve">Forderung gegenüber Aktionärin</t>
  </si>
  <si>
    <t xml:space="preserve">Liberierung Aktienkapital, per Stichtag saldiert</t>
  </si>
  <si>
    <t xml:space="preserve">Total Umlaufvermögen</t>
  </si>
  <si>
    <t xml:space="preserve">Grundstück Kat. EL4893 Stämpfelfeld</t>
  </si>
  <si>
    <t xml:space="preserve">4'958 m², GB-Blatt 2598, Keller AG Ziegeleien, KV vom 11.07.2025</t>
  </si>
  <si>
    <t xml:space="preserve">Grundstück Kat. EL4894 Gewerbezone</t>
  </si>
  <si>
    <t xml:space="preserve">6'417 m², GB-Blatt 2599, Keller Prefadom AG, KV vom 11.07.2025</t>
  </si>
  <si>
    <t xml:space="preserve">2'251 m², Abparzellierung durch Mutation noch zu vollziehen</t>
  </si>
  <si>
    <t xml:space="preserve">Beurkundungsgebühren Notariat Elgg, Anteil Tetris AG 50 %</t>
  </si>
  <si>
    <t xml:space="preserve">Anlagen im Bau — BKP 0 Entwicklungsleistungen</t>
  </si>
  <si>
    <t xml:space="preserve">Entwicklungsleistung Skyline Properties GmbH gem. Entwicklungsvertrag</t>
  </si>
  <si>
    <t xml:space="preserve">Anlagen im Bau — BKP 296 Planung und Architektur</t>
  </si>
  <si>
    <t xml:space="preserve">Urbanstreet Development AG inkl. Subplaner sowie Ingesa AG</t>
  </si>
  <si>
    <t xml:space="preserve">Total Anlagevermögen</t>
  </si>
  <si>
    <t xml:space="preserve">TOTAL AKTIVEN</t>
  </si>
  <si>
    <t xml:space="preserve">PASSIVEN</t>
  </si>
  <si>
    <t xml:space="preserve">Kurzfristiges Fremdkapital</t>
  </si>
  <si>
    <t xml:space="preserve">Kaufpreis EL4893; fällig bei Eigentumsübertragung, davon CHF 200'000 an Gemeindesteueramt Elgg</t>
  </si>
  <si>
    <t xml:space="preserve">Kaufpreis EL4894; fällig bei Eigentumsübertragung, davon CHF 350'000 an Gemeindesteueramt Elgg</t>
  </si>
  <si>
    <t xml:space="preserve">Total kurzfristiges Fremdkapital</t>
  </si>
  <si>
    <t xml:space="preserve">Langfristiges Fremdkapital</t>
  </si>
  <si>
    <t xml:space="preserve">Darlehen Skyline Properties GmbH</t>
  </si>
  <si>
    <t xml:space="preserve">Aktionärin; Entwicklungsleistung stehen gelassen — Rangrücktritt erforderlich (P-01)</t>
  </si>
  <si>
    <t xml:space="preserve">Darlehen Urbanstreet Development AG</t>
  </si>
  <si>
    <t xml:space="preserve">nahestehend; Architekturleistung stehen gelassen — Rangrücktritt erforderlich (P-01)</t>
  </si>
  <si>
    <t xml:space="preserve">Total langfristiges Fremdkapital</t>
  </si>
  <si>
    <t xml:space="preserve">Total Fremdkapital</t>
  </si>
  <si>
    <t xml:space="preserve">100'000 Namenaktien à CHF 1.00, voll liberiert</t>
  </si>
  <si>
    <t xml:space="preserve">Ergebnis 27.03.2025 – 30.06.2026</t>
  </si>
  <si>
    <t xml:space="preserve">Verlust der Berichtsperiode, siehe Blatt 04</t>
  </si>
  <si>
    <t xml:space="preserve">Total Eigenkapital</t>
  </si>
  <si>
    <t xml:space="preserve">TOTAL PASSIVEN</t>
  </si>
  <si>
    <t xml:space="preserve">Kontrolle Aktiven minus Passiven (muss null sein)</t>
  </si>
  <si>
    <t xml:space="preserve">KENNZAHLEN</t>
  </si>
  <si>
    <t xml:space="preserve">Eigenkapitalquote</t>
  </si>
  <si>
    <t xml:space="preserve">Eigenkapital in Prozent der Bilanzsumme</t>
  </si>
  <si>
    <t xml:space="preserve">Puffer bis Kapitalverlust OR 725a</t>
  </si>
  <si>
    <t xml:space="preserve">Eigenkapital minus Hälfte des Aktienkapitals; bei Unterschreitung wird trotz Opting-out eine eingeschränkte Revision zwingend</t>
  </si>
  <si>
    <t xml:space="preserve">Fremdkapital von Nahestehenden</t>
  </si>
  <si>
    <t xml:space="preserve">Darlehen Skyline Properties und Urbanstreet Development</t>
  </si>
  <si>
    <t xml:space="preserve">Anlagekosten pro m² Bauzone</t>
  </si>
  <si>
    <t xml:space="preserve">Bauzonenfläche 1. Etappe 11'375 m²</t>
  </si>
  <si>
    <t xml:space="preserve">Hinweis zur Bilanzierung des Landerwerbs: Die Kaufverträge vom 11.07.2025 sind öffentlich beurkundet und für beide Parteien verbindlich; sämtliche Erschliessungs- und Quartierplankosten gehen ab Beurkundung zulasten der Tetris AG. Der Verwaltungsrat bilanziert den Erwerb deshalb nach wirtschaftlicher Betrachtungsweise. Formell gehen Besitz, Nutzen und Gefahr erst mit der Eigentumsübertragung über (Ziff. 3 beider Verträge), und beide Verträge fallen entschädigungslos dahin, wenn bis zum 23.12.2026 kein rechtskräftiger Beschluss des Bezirksrates Winterthur nach Art. 17 BewG vorliegt. Dieser Sachverhalt ist im Anhang zwingend offenzulegen.</t>
  </si>
  <si>
    <t xml:space="preserve">Erfolgsrechnung 27. März 2025 – 30. Juni 2026</t>
  </si>
  <si>
    <t xml:space="preserve">Tetris AG · Produktionserfolgsrechnung (Gesamtkostenverfahren) nach OR Art. 959b Abs. 2 · in CHF</t>
  </si>
  <si>
    <t xml:space="preserve">BETRIEBSERTRAG</t>
  </si>
  <si>
    <t xml:space="preserve">Ertrag aus Vermietung</t>
  </si>
  <si>
    <t xml:space="preserve">keine Erträge in der Berichtsperiode — Projektentwicklungsphase</t>
  </si>
  <si>
    <t xml:space="preserve">Aktivierte Eigen- und Fremdleistungen</t>
  </si>
  <si>
    <t xml:space="preserve">Bestandesänderung Anlagen im Bau; Gegenposten zur Aktivierung der Projektkosten (Buchungen 15–17)</t>
  </si>
  <si>
    <t xml:space="preserve">Total Betriebsertrag</t>
  </si>
  <si>
    <t xml:space="preserve">BETRIEBSAUFWAND</t>
  </si>
  <si>
    <t xml:space="preserve">Anteil Prefadom CHF 1'250'000 und Anteil Keller CHF 2'156'000 gem. Entwicklungsvertrag</t>
  </si>
  <si>
    <t xml:space="preserve">Architektur- und Planerleistungen Urbanstreet Development AG</t>
  </si>
  <si>
    <t xml:space="preserve">Vorprojekt, Bauprojekt, Ausschreibungsprojekt inkl. Subplaner, Anteil 1. Etappe bis Q2 2026</t>
  </si>
  <si>
    <t xml:space="preserve">Fachplanung Ingesa AG</t>
  </si>
  <si>
    <t xml:space="preserve">Liegenschaftsentwässerung, Leistungen 2022–2023, Vergleich per Saldo aller Ansprüche</t>
  </si>
  <si>
    <t xml:space="preserve">Verwaltungsaufwand und Gründungskosten</t>
  </si>
  <si>
    <t xml:space="preserve">Bankgebühr Kapitaleinzahlung und Notariatsgebühren Küsnacht netto — nicht aktivierbar (OR 959 Abs. 2)</t>
  </si>
  <si>
    <t xml:space="preserve">in der Berichtsperiode noch nicht angefallen — Honorar Fritz Beck ist abzugrenzen</t>
  </si>
  <si>
    <t xml:space="preserve">Total Betriebsaufwand</t>
  </si>
  <si>
    <t xml:space="preserve">Betriebsergebnis</t>
  </si>
  <si>
    <t xml:space="preserve">FINANZERFOLG</t>
  </si>
  <si>
    <t xml:space="preserve">Kontoführungsgebühr 2025 sowie H1 2026 (Buchung 18, noch einzusetzen)</t>
  </si>
  <si>
    <t xml:space="preserve">Darlehen werden zinslos geführt — vgl. Blatt 09 zum verdeckten Eigenkapital</t>
  </si>
  <si>
    <t xml:space="preserve">Total Finanzaufwand</t>
  </si>
  <si>
    <t xml:space="preserve">STEUERN</t>
  </si>
  <si>
    <t xml:space="preserve">Gewinnsteuer entfällt bei Verlust; Kapitalsteuer wird mit dem Jahresabschluss 31.12.2026 abgegrenzt</t>
  </si>
  <si>
    <t xml:space="preserve">Total Steuern</t>
  </si>
  <si>
    <t xml:space="preserve">ERGEBNIS DER BERICHTSPERIODE (Verlust)</t>
  </si>
  <si>
    <t xml:space="preserve">Lesehilfe für den Verwaltungsrat: Die Erfolgsrechnung weist Projektkosten von über CHF 5,4 Mio aus — genau so, wie es die Geschäftsleitung verlangt hat. Weil diese Kosten werthaltige Anlagen schaffen, werden sie über das Konto 3700 im gleichen Umfang wieder aktiviert. Das Ergebnis der Berichtsperiode besteht deshalb ausschliesslich aus den nicht aktivierbaren Gründungs- und Bankkosten. Genau das ist die von Fritz Beck geforderte Aktivierung — nur mit voller Sichtbarkeit in der Erfolgsrechnung.</t>
  </si>
  <si>
    <t xml:space="preserve">Anhang zum Zwischenabschluss per 30. Juni 2026 — Entwurf</t>
  </si>
  <si>
    <t xml:space="preserve">Tetris AG · nach OR 959c und OR 960f · Platzhalter in ‹spitzen Klammern› sind vor der Genehmigung zu ersetzen</t>
  </si>
  <si>
    <t xml:space="preserve">OR 960f verlangt für jeden Zwischenabschluss eine Bilanz, eine Erfolgsrechnung und einen Anhang. Der Anhang muss zusätzlich den Zweck des Zwischenabschlusses, die vorgenommenen Vereinfachungen und die wesentlichen Einflussfaktoren nennen (Ziffern 2, 4 und 16). Die Texte sind so formuliert, dass sie nach Ersatz der Platzhalter unverändert in den Abschluss übernommen werden können. Gelb hinterlegt sind die Ziffern mit Platzhaltern.</t>
  </si>
  <si>
    <t xml:space="preserve">Ziff.</t>
  </si>
  <si>
    <t xml:space="preserve">Titel</t>
  </si>
  <si>
    <t xml:space="preserve">Rechtsgrundlage</t>
  </si>
  <si>
    <t xml:space="preserve">Text</t>
  </si>
  <si>
    <t xml:space="preserve">1</t>
  </si>
  <si>
    <t xml:space="preserve">Angaben zur Gesellschaft</t>
  </si>
  <si>
    <t xml:space="preserve">OR 959c Abs. 2 Ziff. 1</t>
  </si>
  <si>
    <t xml:space="preserve">Tetris AG, Aktiengesellschaft nach schweizerischem Recht, Sitz Küsnacht ZH, Gustav-Siber-Weg 4, 8700 Küsnacht ZH, UID CHE-218.842.608. Gegründet am 27. März 2025, im Handelsregister des Kantons Zürich eingetragen am 7. April 2025. Aktienkapital CHF 100'000.00, eingeteilt in 100'000 Namenaktien zu CHF 1.00, voll liberiert. Alleinaktionärin ist die Skyline Properties GmbH, Küsnacht ZH (UID CHE-168.143.021). Zweck der Gesellschaft ist die Planung, Finanzierung, Realisierung, der Betrieb, die Verwaltung und der Unterhalt eines Gewerbecampus in Elgg ZH.</t>
  </si>
  <si>
    <t xml:space="preserve">2</t>
  </si>
  <si>
    <t xml:space="preserve">Zweck und Bezeichnung des Zwischenabschlusses</t>
  </si>
  <si>
    <t xml:space="preserve">OR 960f Abs. 2 Ziff. 1 und Abs. 3</t>
  </si>
  <si>
    <t xml:space="preserve">Der vorliegende Abschluss ist ein Zwischenabschluss per 30. Juni 2026 innerhalb des ersten, verlängerten Geschäftsjahres vom 27. März 2025 bis 31. Dezember 2026. Er wurde vom Verwaltungsrat erstellt, um (a) den Kreditinstituten eine aktuelle Grundlage für die Land- und Baufinanzierung des Projekts Campus Elgg zu geben, (b) die Kapitalerhöhung mit Verrechnungsliberierung vorzubereiten und (c) dem Verwaltungsrat eine Führungsgrundlage nach OR 716a Abs. 1 Ziff. 3 zu verschaffen. Er ersetzt die Jahresrechnung per 31. Dezember 2026 nicht. Für das Jahr 2025 wurde keine Jahresrechnung erstellt; die Steuerperiode umfasst nach der Praxis des Kantons Zürich das gesamte erste Geschäftsjahr von 21 Monaten (Zürcher Steuerbuch Nr. 83.1: erste Steuerperiode unter 24 Monaten).</t>
  </si>
  <si>
    <t xml:space="preserve">3</t>
  </si>
  <si>
    <t xml:space="preserve">Rechnungslegungsgrundsätze</t>
  </si>
  <si>
    <t xml:space="preserve">OR 959c Abs. 1 Ziff. 1</t>
  </si>
  <si>
    <t xml:space="preserve">Der Zwischenabschluss wurde nach den Vorschriften des Schweizerischen Obligationenrechts über die kaufmännische Buchführung und Rechnungslegung (OR Art. 957 ff.) erstellt. Die Erfolgsrechnung ist als Produktionserfolgsrechnung (Gesamtkostenverfahren) nach OR 959b Abs. 2 gegliedert. Sie umfasst die kumulierte Periode vom 27. März 2025 bis 30. Juni 2026 (15 Monate). Mangels einer vorangehenden Jahresrechnung entfallen Vorjahreszahlen; die Überschriften und Zwischentotale nach OR 960f Abs. 2 sind diejenigen, die auch der Jahresrechnung per 31. Dezember 2026 zugrunde gelegt werden.</t>
  </si>
  <si>
    <t xml:space="preserve">4</t>
  </si>
  <si>
    <t xml:space="preserve">Vereinfachungen und Verkürzungen</t>
  </si>
  <si>
    <t xml:space="preserve">OR 960f Abs. 2 Ziff. 2</t>
  </si>
  <si>
    <t xml:space="preserve">Gegenüber einer Jahresrechnung wurden folgende Vereinfachungen vorgenommen: (a) Die Kontoführungsgebühren der Bank Avera für das erste Halbjahr 2026 sind noch nicht erfasst ‹Betrag gemäss Kontoauszug per 30. Juni 2026 einsetzen›. (b) Auf eine Abgrenzung der Kapitalsteuer wurde verzichtet; sie wird mit der Jahresrechnung per 31. Dezember 2026 erfasst. (c) Honorare für Buchführung und Beratung, die die Berichtsperiode betreffen, aber noch nicht fakturiert sind, wurden nicht abgegrenzt ‹Betrag einsetzen oder bestätigen, dass keine bestehen›. Im Übrigen wurden sämtliche Abschlussbuchungen vorgenommen, insbesondere die Aktivierung der Projektkosten.</t>
  </si>
  <si>
    <t xml:space="preserve">5</t>
  </si>
  <si>
    <t xml:space="preserve">Bewertungsgrundsätze</t>
  </si>
  <si>
    <t xml:space="preserve">OR 959c Abs. 1 Ziff. 1, OR 960 ff.</t>
  </si>
  <si>
    <t xml:space="preserve">Flüssige Mittel werden zum Nominalwert bilanziert. Grundstücke werden zu Anschaffungskosten einschliesslich direkt zurechenbarer Nebenkosten bilanziert; auf Land werden keine Abschreibungen vorgenommen. Anlagen im Bau werden zu Anschaffungs- beziehungsweise Herstellungskosten bilanziert; Abschreibungen beginnen mit der Inbetriebnahme. Die Aktivierung der Entwicklungs-, Planungs- und Architekturleistungen erfolgt nach dem Gesamtkostenverfahren: Die Leistungen werden als Aufwand erfasst und über die Position «Aktivierte Eigen- und Fremdleistungen» in gleicher Höhe aktiviert. Fremdkapitalzinsen der Bauphase können nach OR 960a Abs. 1 aktiviert werden; in der Berichtsperiode sind keine angefallen. Verbindlichkeiten werden zum Nominalwert bilanziert. Die Darlehen der nahestehenden Gesellschaften sind unverzinslich und ohne feste Laufzeit; sie werden als langfristig ausgewiesen.</t>
  </si>
  <si>
    <t xml:space="preserve">6</t>
  </si>
  <si>
    <t xml:space="preserve">Erläuterungen zur Bilanz — Grundstücke Campus Elgg</t>
  </si>
  <si>
    <t xml:space="preserve">OR 959c Abs. 1 Ziff. 2</t>
  </si>
  <si>
    <t xml:space="preserve">Bilanziert sind die Grundstücke Kataster EL4893 (4'958 m², Keller AG Ziegeleien, Kaufpreis CHF 1'885'300.00) und Kataster EL4894 (Gewerbezone 6'417 m² und Landwirtschaftszone 2'251 m², Keller Prefadom AG, Kaufpreis CHF 2'977'205.00) zuzüglich Beurkundungskosten von CHF 2'649.75, total CHF 4'865'154.75. Die Kaufverträge wurden am 11. Juli 2025 öffentlich beurkundet (Notariat Elgg). Die Eigentumsübertragung und die Kaufpreiszahlung sind per Stichtag noch nicht erfolgt. Der Verwaltungsrat bilanziert den Erwerb nach wirtschaftlicher Betrachtungsweise, weil beide Verträge für beide Parteien verbindlich sind und sämtliche Erschliessungs- und Quartierplankosten seit der Beurkundung zulasten der Gesellschaft gehen. Besitz, Nutzen und Gefahr gehen formell erst mit der Eigentumsübertragung über. Die Verträge stehen unter der Bedingung eines rechtskräftigen Feststellungsbeschlusses des Bezirksrates Winterthur nach Art. 17 BewG (Lex Koller); liegt dieser bis zum 23. Dezember 2026 nicht vor, fallen beide Verträge entschädigungslos dahin. In diesem Fall wären Grundstücke und Kaufpreisschuld auszubuchen; die Beurkundungskosten und die aktivierten Projektkosten wären auf ihre Werthaltigkeit zu prüfen. Stand des Verfahrens: ‹einsetzen›.</t>
  </si>
  <si>
    <t xml:space="preserve">7</t>
  </si>
  <si>
    <t xml:space="preserve">Erläuterungen zur Bilanz — Anlagen im Bau</t>
  </si>
  <si>
    <t xml:space="preserve">Die Anlagen im Bau von CHF 5'411'000.00 umfassen die Entwicklungsleistung der Skyline Properties GmbH (CHF 3'406'000.00, Baukostenplan 0), die Architektur- und Planerleistungen der Urbanstreet Development AG einschliesslich Subplaner für Vorprojekt, Bauprojekt und Ausschreibungsprojekt der 1. Etappe (CHF 1'960'000.00, Baukostenplan 296) sowie die Fachplanung Liegenschaftsentwässerung der Ingesa AG (CHF 45'000.00, Baukostenplan 296). Die Leistungen der beiden nahestehenden Gesellschaften wurden per Stichtag verbucht und als Darlehen stehen gelassen; Grundlage sind ‹Entwicklungsvertrag vom … und Honorarrechnung vom …›. Der Verwaltungsrat hat die Werthaltigkeit der aktivierten Anlagekosten von insgesamt CHF 10'276'154.75 (CHF 903.40 pro m² Bauzone) beurteilt ‹Bezug auf die Bewertung vom … einsetzen› und keine Wertberichtigung für erforderlich gehalten.</t>
  </si>
  <si>
    <t xml:space="preserve">8</t>
  </si>
  <si>
    <t xml:space="preserve">Erläuterungen zur Bilanz — Verbindlichkeiten</t>
  </si>
  <si>
    <t xml:space="preserve">Die kurzfristigen Verbindlichkeiten von CHF 4'862'505.00 betreffen die Kaufpreisschuld gegenüber der Keller AG Ziegeleien (CHF 1'885'300.00) und der Keller Prefadom AG (CHF 2'977'205.00). Sie werden bei der Eigentumsübertragung fällig, spätestens am 23. Dezember 2026; davon sind CHF 550'000.00 zur Sicherstellung der Grundstückgewinnsteuer an das Gemeindesteueramt Elgg zu leisten. Die langfristigen Verbindlichkeiten von CHF 5'366'000.00 sind unverzinsliche Darlehen der Skyline Properties GmbH (CHF 3'406'000.00) und der Urbanstreet Development AG (CHF 1'960'000.00). Beide Darlehensgeberinnen haben ‹am … / noch nicht› einen Rangrücktritt im Sinne von OR 725b Abs. 4 erklärt.</t>
  </si>
  <si>
    <t xml:space="preserve">9</t>
  </si>
  <si>
    <t xml:space="preserve">Geschäfte mit nahestehenden Personen</t>
  </si>
  <si>
    <t xml:space="preserve">OR 959c Abs. 1 Ziff. 2 (Erläuterung); Angabe freiwillig</t>
  </si>
  <si>
    <t xml:space="preserve">Die Skyline Properties GmbH ist Alleinaktionärin. Die Urbanstreet Development AG steht unter derselben wirtschaftlichen Kontrolle. Beide haben in der Berichtsperiode Leistungen an die Gesellschaft erbracht (Ziffer 7), die zu Bedingungen erfolgten, welche der Verwaltungsrat als marktüblich beurteilt ‹Grundlage des Drittvergleichs einsetzen›. Die Vergleichszahlung von CHF 45'000.00 an die Ingesa AG betrifft Planungsleistungen aus den Jahren 2022 und 2023, die vor der Gründung der Gesellschaft für ein dem Aktionärskreis nahestehendes Vorgängerprojekt erbracht wurden; die steuerliche Beurteilung ist mit dem Steuerberater abzustimmen.</t>
  </si>
  <si>
    <t xml:space="preserve">10</t>
  </si>
  <si>
    <t xml:space="preserve">Eigenkapital und Ergebnisverwendung</t>
  </si>
  <si>
    <t xml:space="preserve">Das Eigenkapital von CHF 99'713.65 besteht aus dem Aktienkapital von CHF 100'000.00 und dem Verlust der Berichtsperiode von CHF 286.35 (Gründungs- und Bankkosten). Die Hälfte des Aktienkapitals ist gedeckt; ein Kapitalverlust nach OR 725a liegt nicht vor. Der Verwaltungsrat beabsichtigt, die Darlehen der Aktionärin durch eine ordentliche Kapitalerhöhung mit Verrechnungsliberierung in Eigenkapital umzuwandeln ‹Stand des Beschlusses einsetzen›.</t>
  </si>
  <si>
    <t xml:space="preserve">11</t>
  </si>
  <si>
    <t xml:space="preserve">Ausserordentliche, einmalige oder periodenfremde Positionen</t>
  </si>
  <si>
    <t xml:space="preserve">OR 959c Abs. 2 Ziff. 12</t>
  </si>
  <si>
    <t xml:space="preserve">Die Vergleichszahlung von CHF 45'000.00 an die Ingesa AG (Buchung vom 10. Dezember 2025) ist eine einmalige, periodenfremde Position: Sie betrifft Planungsleistungen der Jahre 2022 und 2023, die vor der Gründung der Gesellschaft erbracht wurden, und wurde per Saldo aller Ansprüche geleistet. Sie wurde als Planungsaufwand erfasst und aktiviert (Ziffer 7). Weitere ausserordentliche Positionen bestehen nicht.</t>
  </si>
  <si>
    <t xml:space="preserve">12</t>
  </si>
  <si>
    <t xml:space="preserve">Vollzeitstellen</t>
  </si>
  <si>
    <t xml:space="preserve">OR 959c Abs. 2 Ziff. 2</t>
  </si>
  <si>
    <t xml:space="preserve">Die Gesellschaft beschäftigt keine Arbeitnehmenden. Die Anzahl Vollzeitstellen im Jahresdurchschnitt liegt unter 10.</t>
  </si>
  <si>
    <t xml:space="preserve">13</t>
  </si>
  <si>
    <t xml:space="preserve">Beteiligungen</t>
  </si>
  <si>
    <t xml:space="preserve">OR 959c Abs. 2 Ziff. 3</t>
  </si>
  <si>
    <t xml:space="preserve">Die Gesellschaft hält keine Beteiligungen.</t>
  </si>
  <si>
    <t xml:space="preserve">14</t>
  </si>
  <si>
    <t xml:space="preserve">Eventualverbindlichkeiten und nicht bilanzierte Verpflichtungen</t>
  </si>
  <si>
    <t xml:space="preserve">OR 959c Abs. 2 Ziff. 10</t>
  </si>
  <si>
    <t xml:space="preserve">Gerät eine Partei mit der Eigentumsübertragung in Verzug, ist ihr nach den Kaufverträgen vom 11. Juli 2025 eine Nachfrist nach OR 107 anzusetzen; daraus können Schadenersatzansprüche der Gegenpartei entstehen. Sämtliche Quartierplan- und Erschliessungskosten gehen seit der Beurkundung zulasten der Gesellschaft; ihre Höhe ist per Stichtag nicht verlässlich schätzbar ‹Schätzung einsetzen, falls vorhanden›. Ein Werkvertrag mit der Methabau TU AG über die Erstellung der Gebäude A, B und C (Kostenvoranschlag vom 1. Juli 2026: CHF 30'400'954 exkl. MWST) ist per Stichtag nicht abgeschlossen. Es bestehen keine Leasingverbindlichkeiten, keine Verbindlichkeiten gegenüber Vorsorgeeinrichtungen und keine für Dritte bestellten Sicherheiten (OR 959c Abs. 2 Ziff. 6 bis 8). Keine Aktiven sind zur Sicherung eigener Verbindlichkeiten verwendet; es bestehen keine Eigentumsvorbehalte (OR 959c Abs. 2 Ziff. 9).</t>
  </si>
  <si>
    <t xml:space="preserve">15</t>
  </si>
  <si>
    <t xml:space="preserve">Wesentliche Ereignisse nach dem Bilanzstichtag</t>
  </si>
  <si>
    <t xml:space="preserve">OR 959c Abs. 2 Ziff. 13</t>
  </si>
  <si>
    <t xml:space="preserve">Am 1. Juli 2026 hat die Methabau TU AG den Kostenvoranschlag für die Erstellungskosten der Gebäude A, B und C vorgelegt. Am 12. August 2026 hat der Verwaltungsrat die Grundsätze dieses Zwischenabschlusses, die Bilanzierung des Landerwerbs und die Höhe der Entwicklungs- und Planungsleistungen festgelegt. ‹Weitere Ereignisse einsetzen: Stand Lex-Koller-Verfahren, Rangrücktritte, MWST-Registrierung, Bankgespräche›.</t>
  </si>
  <si>
    <t xml:space="preserve">16</t>
  </si>
  <si>
    <t xml:space="preserve">Weitere Faktoren, die die wirtschaftliche Lage wesentlich beeinflusst haben</t>
  </si>
  <si>
    <t xml:space="preserve">OR 960f Abs. 2 Ziff. 3</t>
  </si>
  <si>
    <t xml:space="preserve">Die Gesellschaft befindet sich in der Projektentwicklungsphase und erzielt keine Erträge. Die Finanzierung der Aktiven erfolgt vollständig über Verbindlichkeiten. Die wirtschaftliche Lage hängt massgeblich vom Feststellungsbeschluss des Bezirksrates Winterthur (Ziffer 6), von der Bankfinanzierung des Land- und Bauvorhabens und von der beabsichtigten Kapitalerhöhung (Ziffer 10) ab. Die Gesellschaft ist nicht mehrwertsteuerpflichtig; auf den bezogenen Leistungen ist deshalb keine Vorsteuer geltend gemacht worden. Saisonale Einflüsse bestehen keine.</t>
  </si>
  <si>
    <t xml:space="preserve">17</t>
  </si>
  <si>
    <t xml:space="preserve">OR 727a Abs. 2</t>
  </si>
  <si>
    <t xml:space="preserve">Die Gesellschaft hat mit Zustimmung sämtlicher Aktionäre auf die eingeschränkte Revision verzichtet (Opting-out). Der Zwischenabschluss ist nicht geprüft. Für die beabsichtigte Kapitalerhöhung mit Verrechnungsliberierung ist die Prüfungsbestätigung eines zugelassenen Revisors nach OR 652f unabhängig vom Opting-out erforderlich. Die Schwellenwerte für eine ordentliche Revision nach OR 727 Abs. 1 Ziff. 2 (Bilanzsumme 20 Mio, Umsatz 40 Mio, 250 Vollzeitstellen, zwei davon in zwei aufeinanderfolgenden Jahren) werden auch nach Fertigstellung der 1. Etappe voraussichtlich nicht überschritten, da Umsatz und Personalbestand deutlich darunter liegen.</t>
  </si>
  <si>
    <t xml:space="preserve">EIGENKAPITALNACHWEIS 27.03.2025 – 30.06.2026</t>
  </si>
  <si>
    <t xml:space="preserve">Gründung · Bewegung · Stand 30.06.2026</t>
  </si>
  <si>
    <t xml:space="preserve">0.00   ·   100'000.00   ·   100'000.00</t>
  </si>
  <si>
    <t xml:space="preserve">0.00   ·   0.00   ·   0.00</t>
  </si>
  <si>
    <t xml:space="preserve">0.00   ·   -286.35   ·   -286.35</t>
  </si>
  <si>
    <t xml:space="preserve">0.00   ·   99'713.65   ·   99'713.65</t>
  </si>
  <si>
    <t xml:space="preserve">Genehmigungsvermerk (Vorschlag): «Der Verwaltungsrat der Tetris AG hat diesen Zwischenabschluss per 30. Juni 2026 an seiner Sitzung vom ‹Datum› zur Kenntnis genommen und für die Zwecke nach Ziffer 2 freigegeben. Der Zwischenabschluss ist nicht revidiert. Küsnacht ZH, ‹Datum› — Patrick Alexander Hüppi, Präsident · Cyrill Raphael Hüppi-Rüegg, Mitglied (Kollektivunterschrift zu zweien).»</t>
  </si>
  <si>
    <t xml:space="preserve">Projektkostenrechnung nach BKP — Campus Elgg, 1. Etappe</t>
  </si>
  <si>
    <t xml:space="preserve">Diese Rechnung ist ein Nebenbuch und keine Bilanzgliederung. In der Bilanz erscheint der volle beurkundete Kaufpreis als Anschaffungskosten des Grundstücks, weil er für die Grundstückgewinnsteuer und das Grundbuch als Einheit gilt. Für die Projektsteuerung wird der Kaufpreis hier in den reinen Landwert (BKP 0) und die im Kaufpreis enthaltenen Vorleistungen der Grundeigentümerinnen (BKP 296, CHF 870'000) aufgeteilt — so, wie es die Whiteboard-Notiz vorsieht.</t>
  </si>
  <si>
    <t xml:space="preserve">Grundlage</t>
  </si>
  <si>
    <t xml:space="preserve">Landwert Kat. EL4893 (4'958 m² à CHF 350.00)</t>
  </si>
  <si>
    <t xml:space="preserve">Kaufpreisberechnung 12.08.2026 / KV</t>
  </si>
  <si>
    <t xml:space="preserve">Landwert Kat. EL4894 Gewerbezone (6'417 m² à CHF 350.00)</t>
  </si>
  <si>
    <t xml:space="preserve">Landwert Kat. EL4894 Landwirtschaftszone (2'251 m² à CHF 5.00)</t>
  </si>
  <si>
    <t xml:space="preserve">Anschaffungsnebenkosten (Beurkundung Notariat Elgg, Anteil 50 %)</t>
  </si>
  <si>
    <t xml:space="preserve">Entwicklungsleistung Skyline Properties — Anteil Prefadom</t>
  </si>
  <si>
    <t xml:space="preserve">Whiteboard / Entwicklungsvertrag</t>
  </si>
  <si>
    <t xml:space="preserve">Entwicklungsleistung Skyline Properties — Anteil Keller</t>
  </si>
  <si>
    <t xml:space="preserve">Vorleistungen Grundeigentümerin Keller AG Ziegeleien (im Kaufpreis enthalten)</t>
  </si>
  <si>
    <t xml:space="preserve">Kaufpreisberechnung 12.08.2026</t>
  </si>
  <si>
    <t xml:space="preserve">Vorleistungen Grundeigentümerin Keller Prefadom AG (im Kaufpreis enthalten)</t>
  </si>
  <si>
    <t xml:space="preserve">Urbanstreet Development AG — Architektur inkl. Subplaner, Anteil 1. Etappe bis Q2 2026</t>
  </si>
  <si>
    <t xml:space="preserve">Whiteboard / Honorarrechnung</t>
  </si>
  <si>
    <t xml:space="preserve">Vergleichsvereinbarung</t>
  </si>
  <si>
    <t xml:space="preserve">Total BKP 0 — Grundstück und Entwicklung</t>
  </si>
  <si>
    <t xml:space="preserve">Total BKP 296 — Planung und Architektur</t>
  </si>
  <si>
    <t xml:space="preserve">TOTAL AKTIVIERTE ANLAGEKOSTEN PER 30.06.2026</t>
  </si>
  <si>
    <t xml:space="preserve">Abstimmung mit der Bilanz (Anlagevermögen Blatt 03)</t>
  </si>
  <si>
    <t xml:space="preserve">muss null sein</t>
  </si>
  <si>
    <t xml:space="preserve">ANSCHLUSS: ERSTELLUNGSKOSTEN METHABAU HAUS A/B/C PER 01.07.2026 (KV-ORIGINAL, EXKL. MWST)</t>
  </si>
  <si>
    <t xml:space="preserve">Träger</t>
  </si>
  <si>
    <t xml:space="preserve">Vorbereitungsarbeiten</t>
  </si>
  <si>
    <t xml:space="preserve">TU</t>
  </si>
  <si>
    <t xml:space="preserve">Gebäude</t>
  </si>
  <si>
    <t xml:space="preserve">Umgebung</t>
  </si>
  <si>
    <t xml:space="preserve">Baunebenkosten, Anschlussgebühren, Versicherungen</t>
  </si>
  <si>
    <t xml:space="preserve">TU 71'263 / BH 550'000</t>
  </si>
  <si>
    <t xml:space="preserve">Generalplanerleistungen (ab erteilter Baubewilligung)</t>
  </si>
  <si>
    <t xml:space="preserve">Baumanagement / Totalunternehmen</t>
  </si>
  <si>
    <t xml:space="preserve">Subvention PV-Anlage (Annahme, Gutschrift)</t>
  </si>
  <si>
    <t xml:space="preserve">BH</t>
  </si>
  <si>
    <t xml:space="preserve">Total Erstellungskosten Haus A/B/C</t>
  </si>
  <si>
    <t xml:space="preserve">Wichtig für die Abgrenzung: Der Kostenvoranschlag Methabau schliesst ausdrücklich alle Leistungen aus, die bisher für Projektentwicklung, Baubewilligung und die bereits erstellte Ausführungsplanung erbracht wurden. Die auf Blatt 06 oben aktivierten Kosten und der Kostenvoranschlag Methabau überschneiden sich deshalb nicht — sie sind additiv. Der Generalplaner in BKP 6 des Kostenvoranschlags deckt nur die Leistungen ab erteilter Baubewilligung ab.</t>
  </si>
  <si>
    <t xml:space="preserve">Herleitung des Kaufpreises — Land Campus Elgg</t>
  </si>
  <si>
    <t xml:space="preserve">Grundlage: die beiden öffentlich beurkundeten Kaufverträge vom 11.07.2025 (Notariat Elgg, Urkundenbuch 2025/2196) sowie die handschriftliche Kaufpreisberechnung vom 12.08.2026. Beide Verträge stehen unter der kumulativen Bedingung, dass der jeweils andere ebenfalls beurkundet wird.</t>
  </si>
  <si>
    <t xml:space="preserve">Verkäuferin</t>
  </si>
  <si>
    <t xml:space="preserve">Parzelle</t>
  </si>
  <si>
    <t xml:space="preserve">Zone</t>
  </si>
  <si>
    <t xml:space="preserve">m²</t>
  </si>
  <si>
    <t xml:space="preserve">CHF/m²</t>
  </si>
  <si>
    <t xml:space="preserve">Landwert CHF</t>
  </si>
  <si>
    <t xml:space="preserve">Projektkosten CHF</t>
  </si>
  <si>
    <t xml:space="preserve">Total CHF</t>
  </si>
  <si>
    <t xml:space="preserve">Keller AG Ziegeleien</t>
  </si>
  <si>
    <t xml:space="preserve">EL4893 Stämpfelfeld</t>
  </si>
  <si>
    <t xml:space="preserve">Gewerbezone</t>
  </si>
  <si>
    <t xml:space="preserve">Keller Prefadom AG</t>
  </si>
  <si>
    <t xml:space="preserve">EL4894 (74 %)</t>
  </si>
  <si>
    <t xml:space="preserve">EL4894 (26 %)</t>
  </si>
  <si>
    <t xml:space="preserve">Landwirtschaftszone</t>
  </si>
  <si>
    <t xml:space="preserve">TOTAL KAUFPREIS BEIDE VERTRÄGE</t>
  </si>
  <si>
    <t xml:space="preserve">Prüfpunkt</t>
  </si>
  <si>
    <t xml:space="preserve">Wert</t>
  </si>
  <si>
    <t xml:space="preserve">Quelle</t>
  </si>
  <si>
    <t xml:space="preserve">Kaufpreis Keller AG Ziegeleien</t>
  </si>
  <si>
    <t xml:space="preserve">Kaufvertrag EL4893, Seite «Der Kaufpreis beträgt CHF 1'885'300.00»; davon CHF 200'000 an Gemeindesteueramt Elgg zur Sicherstellung der Grundstückgewinnsteuer, CHF 1'685'300 an UBS AG Winterthur</t>
  </si>
  <si>
    <t xml:space="preserve">Kaufpreis Keller Prefadom AG</t>
  </si>
  <si>
    <t xml:space="preserve">Kaufvertrag EL4894, «total CHF 2'977'205.00»; davon CHF 350'000 an Gemeindesteueramt Elgg, CHF 2'627'205 an Zürcher Kantonalbank</t>
  </si>
  <si>
    <t xml:space="preserve">Total beurkundeter Kaufpreis</t>
  </si>
  <si>
    <t xml:space="preserve">Summe beider Verträge — stimmt mit der Kaufpreisberechnung vom 12.08.2026 überein</t>
  </si>
  <si>
    <t xml:space="preserve">davon reiner Landwert (BKP 0)</t>
  </si>
  <si>
    <t xml:space="preserve">Bauzone 11'375 m² à CHF 350.00 plus Landwirtschaftszone 2'251 m² à CHF 5.00</t>
  </si>
  <si>
    <t xml:space="preserve">davon Projektkosten Verkäuferinnen (BKP 296)</t>
  </si>
  <si>
    <t xml:space="preserve">CHF 150'000 Keller AG Ziegeleien und CHF 720'000 Keller Prefadom AG — Vorleistungen der Grundeigentümerinnen</t>
  </si>
  <si>
    <t xml:space="preserve">Bauzonenfläche 1. Etappe</t>
  </si>
  <si>
    <t xml:space="preserve">4'958 m² Kat. EL4893 plus 6'417 m² Kat. EL4894 Gewerbezone</t>
  </si>
  <si>
    <t xml:space="preserve">Vertragliche Besonderheit: Ziffer 16 beider Verträge hält fest, dass sich der Kaufpreis für das Vertragsobjekt (Land) «ohne Architekturverpflichtungen» versteht. Die im Kaufpreis enthaltenen Projektkosten von CHF 870'000 sind daher Vorleistungen der Grundeigentümerinnen aus dem Quartierplanverfahren und nicht Architekturhonorare. Für den Kanton Zürich fällt keine Handänderungssteuer an. Die Notariats- und Grundbuchgebühren tragen die Parteien je zur Hälfte.</t>
  </si>
  <si>
    <t xml:space="preserve">Werthaltigkeitsnachweis nach OR 960a Abs. 3</t>
  </si>
  <si>
    <t xml:space="preserve">Aktiven dürfen höchstens zum Anschaffungswert bilanziert werden und sind bei Anzeichen einer Überbewertung wertzuberichtigen. Weil der Lex-Koller-Entscheid aussteht und die Kalkulationsgrundlagen von 2022 stammen, ist dieser Nachweis der heikelste Teil des Abschlusses. Der Verwaltungsrat muss ihn aktiv beschliessen.</t>
  </si>
  <si>
    <t xml:space="preserve">A · AKTIVIERTE ANLAGEKOSTEN PRO QUADRATMETER BAUZONE</t>
  </si>
  <si>
    <t xml:space="preserve">m² Bauzone</t>
  </si>
  <si>
    <t xml:space="preserve">BKP 0 — Grundstück und Entwicklungsleistungen</t>
  </si>
  <si>
    <t xml:space="preserve">BKP 296 — Planung und Architektur</t>
  </si>
  <si>
    <t xml:space="preserve">Total aktivierte Anlagekosten</t>
  </si>
  <si>
    <t xml:space="preserve">B · VERGLEICH MIT DEN VORLIEGENDEN WERTREFERENZEN (BEZUG: BKP 0)</t>
  </si>
  <si>
    <t xml:space="preserve">Referenzwert</t>
  </si>
  <si>
    <t xml:space="preserve">Wert für 11'375 m²</t>
  </si>
  <si>
    <t xml:space="preserve">Deckung BKP 0</t>
  </si>
  <si>
    <t xml:space="preserve">Beurteilung</t>
  </si>
  <si>
    <t xml:space="preserve">Whiteboard-Zielwert BKP 0 per 2026</t>
  </si>
  <si>
    <t xml:space="preserve">Notiz «1. Etappe 11'375 m² LF = 800.–/m²»; an anderer Stelle «1+2. Etappe: BKP 0 = 9 Mio» — Quelle uneinheitlich</t>
  </si>
  <si>
    <t xml:space="preserve">Verkaufspreis Bauland inkl. Entwicklung (Kalkulation 2022)</t>
  </si>
  <si>
    <t xml:space="preserve">Entwicklungskosten- und Gewinnberechnung Campus Elgg</t>
  </si>
  <si>
    <t xml:space="preserve">Mindestverkaufspreis Bauland gem. Entwicklungsvertrag</t>
  </si>
  <si>
    <t xml:space="preserve">Entwicklungskosten- und Gewinnberechnung Campus Elgg, Fussnote</t>
  </si>
  <si>
    <t xml:space="preserve">Befund: Gegenüber dem aktuellen Zielwert von CHF 800.–/m² aus der Whiteboard-Notiz ist BKP 0 komfortabel gedeckt. Gegenüber der Kalkulation von 2022 (CHF 632.50/m²) ergibt sich rechnerisch eine Unterdeckung. Die Kalkulation 2022 bewertet jedoch nur Bauland ohne das inzwischen bewilligte Bauprojekt, während der Zielwert von CHF 800.–/m² den aktuellen Entwicklungsstand abbildet. Beide Zahlen sind daher nicht direkt vergleichbar. Für den Abschluss braucht es einen aktuellen, datierten Wertnachweis — die auf dem Whiteboard bereits vorgesehene «Neue Bewertung intern (Schätzungsexperte und Finanzierung)» ist genau dieser Nachweis und ist vor der Genehmigung des Abschlusses beizubringen (Pendenz P-03).</t>
  </si>
  <si>
    <t xml:space="preserve">C · GEGENPROBE ÜBER DAS FERTIGE OBJEKT</t>
  </si>
  <si>
    <t xml:space="preserve">Bemerkung</t>
  </si>
  <si>
    <t xml:space="preserve">Aktivierte Anlagekosten per 30.06.2026</t>
  </si>
  <si>
    <t xml:space="preserve">Land, Entwicklung, Planung und Architektur — siehe Abschnitt A</t>
  </si>
  <si>
    <t xml:space="preserve">Erstellungskosten Haus A/B/C gem. KV Methabau 01.07.2026</t>
  </si>
  <si>
    <t xml:space="preserve">exkl. MWST; schliesst die bisherigen Entwicklungs- und Planungsleistungen ausdrücklich aus</t>
  </si>
  <si>
    <t xml:space="preserve">Gesamtinvestition 1. Etappe (exkl. MWST)</t>
  </si>
  <si>
    <t xml:space="preserve">Der belastbarste Werthaltigkeitsnachweis für eine Renditeliegenschaft ist der Ertragswert des fertigen Objekts. Sobald die Mietzinsprognose für den Campus vorliegt, ist die Rechnung «erwarteter Ertragswert minus Gesamtinvestition» der Nachweis, den auch die Bank sehen will. Diese Rechnung gehört zusammen mit der Neubewertung ins Kreditdossier.</t>
  </si>
  <si>
    <t xml:space="preserve">Verdecktes Eigenkapital nach Kreisschreiben Nr. 6 ESTV</t>
  </si>
  <si>
    <t xml:space="preserve">Darlehen von Aktionären und Nahestehenden gelten steuerlich so weit als Eigenkapital, als die Aktiven sie nach festen Belehnungssätzen nicht mehr tragen. Die Folgen: Kapitalsteuer auf dem verdeckten Eigenkapital und — wesentlich gravierender — Zinsen auf diesem Teil sind nicht abzugsfähig und gelten als geldwerte Leistung mit 35 % Verrechnungssteuer. Solange die Darlehen zinslos geführt werden, bleibt das Risiko theoretisch.</t>
  </si>
  <si>
    <t xml:space="preserve">A · MAXIMAL ZULÄSSIGE FREMDFINANZIERUNG</t>
  </si>
  <si>
    <t xml:space="preserve">Aktivenkategorie</t>
  </si>
  <si>
    <t xml:space="preserve">Buchwert CHF</t>
  </si>
  <si>
    <t xml:space="preserve">Belehnungssatz</t>
  </si>
  <si>
    <t xml:space="preserve">Zulässiges FK CHF</t>
  </si>
  <si>
    <t xml:space="preserve">Flüssige Mittel</t>
  </si>
  <si>
    <t xml:space="preserve">KS 6 ESTV — flüssige Mittel 100 %</t>
  </si>
  <si>
    <t xml:space="preserve">Grundstücke Campus Elgg (Bauland)</t>
  </si>
  <si>
    <t xml:space="preserve">KS 6 ESTV — «Villen, Eigentumswohnungen, Ferienhäuser und Bauland» 70 %</t>
  </si>
  <si>
    <t xml:space="preserve">Anlagen im Bau / Projektentwicklung</t>
  </si>
  <si>
    <t xml:space="preserve">Total massgebende Aktiven / zulässiges Fremdkapital</t>
  </si>
  <si>
    <t xml:space="preserve">B · BERECHNUNG DES VERDECKTEN EIGENKAPITALS</t>
  </si>
  <si>
    <t xml:space="preserve">Schritt</t>
  </si>
  <si>
    <t xml:space="preserve">Massgebende Aktiven</t>
  </si>
  <si>
    <t xml:space="preserve">Buchwerte gemäss Bilanz per 30.06.2026</t>
  </si>
  <si>
    <t xml:space="preserve">Maximal zulässige Fremdfinanzierung</t>
  </si>
  <si>
    <t xml:space="preserve">Aktiven multipliziert mit den Belehnungssätzen</t>
  </si>
  <si>
    <t xml:space="preserve">Notwendiges Eigenkapital</t>
  </si>
  <si>
    <t xml:space="preserve">Schritt 1 minus Schritt 2</t>
  </si>
  <si>
    <t xml:space="preserve">Ausgewiesenes Eigenkapital</t>
  </si>
  <si>
    <t xml:space="preserve">Aktienkapital abzüglich Periodenverlust</t>
  </si>
  <si>
    <t xml:space="preserve">Rechnerische Unterdeckung</t>
  </si>
  <si>
    <t xml:space="preserve">Schritt 3 minus Schritt 4, mindestens null</t>
  </si>
  <si>
    <t xml:space="preserve">Darlehen von Nahestehenden</t>
  </si>
  <si>
    <t xml:space="preserve">Skyline Properties GmbH und Urbanstreet Development AG</t>
  </si>
  <si>
    <t xml:space="preserve">VERDECKTES EIGENKAPITAL</t>
  </si>
  <si>
    <t xml:space="preserve">Unterdeckung, begrenzt auf die Darlehen von Nahestehenden</t>
  </si>
  <si>
    <t xml:space="preserve">C · FOLGEN UND HANDLUNGSEMPFEHLUNG</t>
  </si>
  <si>
    <t xml:space="preserve">1. Zinsen: Auf dem verdeckten Eigenkapital sind Schuldzinsen steuerlich nicht abzugsfähig und werden als geldwerte Leistung an die Aktionärin aufgerechnet — Verrechnungssteuer 35 %. Vor der ersten Zinsbelastung zwingend den Steuerberater beiziehen.</t>
  </si>
  <si>
    <t xml:space="preserve">2. Kapitalsteuer: Das verdeckte Eigenkapital erhöht die Bemessungsgrundlage der kantonalen Kapitalsteuer. Der Betrag ist bei den aktuellen Zürcher Sätzen überschaubar, gehört aber in die Steuererklärung.</t>
  </si>
  <si>
    <t xml:space="preserve">3. Wirksamste Gegenmassnahme: die Wandlung des Darlehens Skyline Properties in Eigenkapital — sie beseitigt das verdeckte Eigenkapital, hebt die Eigenkapitalquote und ist ohnehin Voraussetzung für die Bankfinanzierung. Siehe Blatt 10.</t>
  </si>
  <si>
    <t xml:space="preserve">4. Bis zur Wandlung: Darlehen zinslos führen und schriftliche Rangrücktrittserklärungen einholen.</t>
  </si>
  <si>
    <t xml:space="preserve">Eigenkapitalsimulation Tetris AG — Wandlung der Darlehen in Eigenkapital</t>
  </si>
  <si>
    <t xml:space="preserve">Drei Szenarien einer ordentlichen Kapitalerhöhung mit Verrechnungsliberierung: Die Gläubigerin bringt ihre Forderung als Einlage ein und erhält dafür neue Aktien. Alle gelb hinterlegten Felder sind Stellhebel und dürfen geändert werden; alles andere rechnet sich daraus. Die Bilanzsumme verändert sich nur um die Bareinlage abzüglich Emissionsabgabe und Kosten — die Wandlung selbst ist ein reiner Passivtausch.</t>
  </si>
  <si>
    <t xml:space="preserve">A · STELLHEBEL</t>
  </si>
  <si>
    <t xml:space="preserve">Stellhebel</t>
  </si>
  <si>
    <t xml:space="preserve">Ist ohne Wandlung</t>
  </si>
  <si>
    <t xml:space="preserve">Szenario A</t>
  </si>
  <si>
    <t xml:space="preserve">Szenario B</t>
  </si>
  <si>
    <t xml:space="preserve">Szenario C</t>
  </si>
  <si>
    <t xml:space="preserve">Bezeichnung des Szenarios</t>
  </si>
  <si>
    <t xml:space="preserve">Kurzname</t>
  </si>
  <si>
    <t xml:space="preserve">Nur Skyline Properties</t>
  </si>
  <si>
    <t xml:space="preserve">Skyline + Urbanstreet nach Zession</t>
  </si>
  <si>
    <t xml:space="preserve">Teilwandlung mit Steuerreserve</t>
  </si>
  <si>
    <t xml:space="preserve">Wandlung Darlehen Skyline Properties GmbH</t>
  </si>
  <si>
    <t xml:space="preserve">Forderung aus der Entwicklungsleistung — Bestand CHF 3'406'000</t>
  </si>
  <si>
    <t xml:space="preserve">Wandlung Darlehen Urbanstreet Development AG</t>
  </si>
  <si>
    <t xml:space="preserve">nur nach Zession an Skyline möglich — Bestand CHF 1'960'000</t>
  </si>
  <si>
    <t xml:space="preserve">Zusätzliche Bareinlage</t>
  </si>
  <si>
    <t xml:space="preserve">deckt Emissionsabgabe und Kosten, wenn die Liquidität nicht reicht</t>
  </si>
  <si>
    <t xml:space="preserve">Nennwerterhöhung Aktienkapital</t>
  </si>
  <si>
    <t xml:space="preserve">Rest der Einlage wird zur gesetzlichen Kapitalreserve (Agio)</t>
  </si>
  <si>
    <t xml:space="preserve">Kapitalerhöhungskosten</t>
  </si>
  <si>
    <t xml:space="preserve">Notariat, Handelsregister, Prüfungsbestätigung zugelassener Revisor</t>
  </si>
  <si>
    <t xml:space="preserve">Emissionsabgabesatz</t>
  </si>
  <si>
    <t xml:space="preserve">Art. 8 Abs. 1 lit. a StG; Freibetrag Art. 6 Abs. 1 lit. h StG</t>
  </si>
  <si>
    <t xml:space="preserve">Freibetrag Emissionsabgabe</t>
  </si>
  <si>
    <t xml:space="preserve">kumulativ über alle Kapitaleinlagen der Gesellschaft</t>
  </si>
  <si>
    <t xml:space="preserve">B · KAPITALEINLAGE UND EMISSIONSABGABE</t>
  </si>
  <si>
    <t xml:space="preserve">Herleitung</t>
  </si>
  <si>
    <t xml:space="preserve">Ist-Zustand</t>
  </si>
  <si>
    <t xml:space="preserve">Gesamte Kapitaleinlage</t>
  </si>
  <si>
    <t xml:space="preserve">Wandlung Skyline plus Wandlung Urbanstreet plus Bareinlage</t>
  </si>
  <si>
    <t xml:space="preserve">Bemessungsgrundlage Emissionsabgabe</t>
  </si>
  <si>
    <t xml:space="preserve">bisheriges Aktienkapital plus neue Einlage abzüglich Freibetrag</t>
  </si>
  <si>
    <t xml:space="preserve">Emissionsabgabe</t>
  </si>
  <si>
    <t xml:space="preserve">Bemessungsgrundlage multipliziert mit dem Abgabesatz</t>
  </si>
  <si>
    <t xml:space="preserve">Barabfluss total</t>
  </si>
  <si>
    <t xml:space="preserve">Emissionsabgabe plus Kapitalerhöhungskosten</t>
  </si>
  <si>
    <t xml:space="preserve">Gesetzliche Kapitalreserve (Agio) nach Verrechnung der Kosten</t>
  </si>
  <si>
    <t xml:space="preserve">Einlage abzüglich Nennwerterhöhung abzüglich Barabfluss</t>
  </si>
  <si>
    <t xml:space="preserve">Zum Freibetrag: Nach Art. 6 Abs. 1 lit. h des Stempelabgabengesetzes bleiben Kapitaleinlagen bis gesamthaft CHF 1 Mio abgabefrei — kumulativ über Gründung und alle Kapitalerhöhungen. Massgebend ist immer die gesamte Leistung der Gesellschafterin, also Nennwert PLUS Agio; die Aufteilung zwischen beiden ändert die Abgabe deshalb nicht. Ob der Freibetrag bei einer Verrechnungsliberierung uneingeschränkt zur Anwendung kommt, ist vor der Umsetzung mit dem Steuerberater zu klären und nötigenfalls vorgängig mit der Eidgenössischen Steuerverwaltung abzustimmen. Wird er verweigert, steigt die Abgabe in Szenario A von CHF 25'060 auf CHF 34'060.</t>
  </si>
  <si>
    <t xml:space="preserve">C · BILANZ NACH DER KAPITALERHÖHUNG</t>
  </si>
  <si>
    <t xml:space="preserve">Wirkung der Wandlung</t>
  </si>
  <si>
    <t xml:space="preserve">Ist 30.06.2026</t>
  </si>
  <si>
    <t xml:space="preserve">sinkt um Emissionsabgabe und Kosten, steigt um die Bareinlage</t>
  </si>
  <si>
    <t xml:space="preserve">Grundstücke Campus Elgg</t>
  </si>
  <si>
    <t xml:space="preserve">unverändert</t>
  </si>
  <si>
    <t xml:space="preserve">Kurzfristiges Fremdkapital (Landkauf)</t>
  </si>
  <si>
    <t xml:space="preserve">sinkt um den gewandelten Betrag</t>
  </si>
  <si>
    <t xml:space="preserve">steigt um die Nennwerterhöhung</t>
  </si>
  <si>
    <t xml:space="preserve">Gesetzliche Kapitalreserve (Kapitaleinlagereserve)</t>
  </si>
  <si>
    <t xml:space="preserve">Agio abzüglich verrechneter Kosten</t>
  </si>
  <si>
    <t xml:space="preserve">Ergebnisvortrag</t>
  </si>
  <si>
    <t xml:space="preserve">Kontrolle: Aktiven minus Passiven (muss null sein)</t>
  </si>
  <si>
    <t xml:space="preserve">D · WIRKUNG AUF DIE KENNZAHLEN</t>
  </si>
  <si>
    <t xml:space="preserve">Kennzahl</t>
  </si>
  <si>
    <t xml:space="preserve">Bedeutung</t>
  </si>
  <si>
    <t xml:space="preserve">Eigenkapital in Prozent der Bilanzsumme — die Zahl, welche die Bank zuerst anschaut</t>
  </si>
  <si>
    <t xml:space="preserve">Puffer bis zum Kapitalverlust (OR 725a)</t>
  </si>
  <si>
    <t xml:space="preserve">Eigenkapital abzüglich der Hälfte von Aktienkapital plus nicht rückzahlbarer gesetzlicher Kapitalreserve; die Kapitalreserve ist nach OR 671 Abs. 2 erst rückzahlbar, soweit sie die Hälfte des Aktienkapitals übersteigt</t>
  </si>
  <si>
    <t xml:space="preserve">Verbleibende Darlehen von Nahestehenden</t>
  </si>
  <si>
    <t xml:space="preserve">Summe der nicht gewandelten Darlehen</t>
  </si>
  <si>
    <t xml:space="preserve">Maximal zulässige Fremdfinanzierung (KS 6 ESTV)</t>
  </si>
  <si>
    <t xml:space="preserve">flüssige Mittel zu 100 %, Liegenschaften zu 70 %</t>
  </si>
  <si>
    <t xml:space="preserve">Verdecktes Eigenkapital</t>
  </si>
  <si>
    <t xml:space="preserve">Unterdeckung des notwendigen Eigenkapitals, begrenzt auf die Darlehen von Nahestehenden</t>
  </si>
  <si>
    <t xml:space="preserve">Liquiditätsreserve nach der Kapitalerhöhung</t>
  </si>
  <si>
    <t xml:space="preserve">Bankguthaben nach Abgabe und Kosten — Warnschwelle CHF 20'000</t>
  </si>
  <si>
    <t xml:space="preserve">E · WAS DIE SZENARIEN BEDEUTEN</t>
  </si>
  <si>
    <t xml:space="preserve">Szenario A — Nur Skyline Properties</t>
  </si>
  <si>
    <t xml:space="preserve">Die Aktionärin wandelt ihre gesamte Forderung aus der Entwicklungsleistung. Das Darlehen der Urbanstreet Development AG bleibt bestehen. Der einfachste Weg — nur eine Partei, keine Zession, Skyline bleibt Alleinaktionärin.</t>
  </si>
  <si>
    <t xml:space="preserve">Szenario B — Skyline + Urbanstreet nach Zession</t>
  </si>
  <si>
    <t xml:space="preserve">Die Urbanstreet Development AG tritt ihre Forderung von CHF 1'960'000 zuerst an die Skyline Properties GmbH ab; diese wandelt dann beide Forderungen. Skyline bleibt Alleinaktionärin und die Tetris AG ist gegenüber Nahestehenden schuldenfrei. Die Bareinlage von CHF 60'000 deckt Emissionsabgabe und Kosten — ohne sie reicht die Liquidität nicht.</t>
  </si>
  <si>
    <t xml:space="preserve">Szenario C — Teilwandlung mit Steuerreserve</t>
  </si>
  <si>
    <t xml:space="preserve">Skyline wandelt nur einen Teil und lässt CHF 706'000 als Darlehen stehen. Sobald der Baukredit fliesst, kann die Tetris AG diesen Rest in bar zurückzahlen — damit finanziert Skyline die Gewinnsteuer auf dem Entwicklungshonorar. Löst das Liquiditätsproblem, lässt aber verdecktes Eigenkapital zurück.</t>
  </si>
  <si>
    <t xml:space="preserve">F · BUCHUNGSSÄTZE BEI DER TETRIS AG</t>
  </si>
  <si>
    <t xml:space="preserve">Vorgang</t>
  </si>
  <si>
    <t xml:space="preserve">Betrag</t>
  </si>
  <si>
    <t xml:space="preserve">Wandlung der Forderung in Nennwertkapital</t>
  </si>
  <si>
    <t xml:space="preserve">Nennwerterhöhung</t>
  </si>
  <si>
    <t xml:space="preserve">Passivtausch, erfolgsneutral</t>
  </si>
  <si>
    <t xml:space="preserve">Wandlung der Forderung in Kapitaleinlagereserve</t>
  </si>
  <si>
    <t xml:space="preserve">Agio brutto</t>
  </si>
  <si>
    <t xml:space="preserve">gesondert als Kapitaleinlagereserve führen — sonst geht die steuerfreie Rückzahlbarkeit verloren</t>
  </si>
  <si>
    <t xml:space="preserve">Verrechnung Emissionsabgabe mit dem Agio</t>
  </si>
  <si>
    <t xml:space="preserve">Alternative: als Aufwand auf 6520 — belastet dann aber das Ergebnis</t>
  </si>
  <si>
    <t xml:space="preserve">Verrechnung Kapitalerhöhungskosten mit dem Agio</t>
  </si>
  <si>
    <t xml:space="preserve">Kosten</t>
  </si>
  <si>
    <t xml:space="preserve">Notariat, Handelsregister, zugelassener Revisor</t>
  </si>
  <si>
    <t xml:space="preserve">Zahlung der Emissionsabgabe an die ESTV</t>
  </si>
  <si>
    <t xml:space="preserve">innert 30 Tagen nach dem Handelsregistereintrag</t>
  </si>
  <si>
    <t xml:space="preserve">Allfällige zusätzliche Bareinlage</t>
  </si>
  <si>
    <t xml:space="preserve">Bareinlage</t>
  </si>
  <si>
    <t xml:space="preserve">gehört zur selben Kapitalerhöhung</t>
  </si>
  <si>
    <t xml:space="preserve">Wirkung auf die Erfolgsrechnung: KEINE. Die Wandlung ist ein Passivtausch, und Emissionsabgabe wie Kapitalerhöhungskosten werden mit dem Agio verrechnet. Das Ergebnis der Berichtsperiode bleibt bei CHF (286.35). Würde man Abgabe und Kosten stattdessen als Aufwand buchen, sänke das Eigenkapital um denselben Betrag — das Total ist identisch, nur der Ausweis unterscheidet sich. Die Verrechnung mit dem Agio ist vorzuziehen, weil sie den Erfolgsausweis der Aufbauphase nicht verzerrt.</t>
  </si>
  <si>
    <t xml:space="preserve">Die andere Seite — Skyline Properties GmbH</t>
  </si>
  <si>
    <t xml:space="preserve">Die Skyline Properties GmbH hält 100 % der Aktien der Tetris AG und ist zugleich Gläubigerin der Entwicklungsleistung. Für sie sind zwei Vorgänge zu unterscheiden, die oft verwechselt werden: die FAKTURIERUNG des Honorars (erfolgswirksam, steuerauslösend) und die WANDLUNG der Forderung in Beteiligungskapital (erfolgsneutraler Aktivtausch). Die Wandlung spart keine Steuern — sie verschiebt nur die Bilanzposition.</t>
  </si>
  <si>
    <t xml:space="preserve">ACHTUNG: Die Eröffnungswerte unten sind ANNAHMEN, weil uns die Buchhaltung der Skyline Properties GmbH nicht vorliegt. Sie sind gelb hinterlegt und müssen durch die effektiven Werte ersetzt werden. Die Bewegungen und Ergebnisse rechnen sich daraus automatisch.</t>
  </si>
  <si>
    <t xml:space="preserve">A · STELLHEBEL UND ERÖFFNUNGSWERTE</t>
  </si>
  <si>
    <t xml:space="preserve">Stammkapital Skyline Properties GmbH</t>
  </si>
  <si>
    <t xml:space="preserve">effektiven Wert einsetzen</t>
  </si>
  <si>
    <t xml:space="preserve">Reserven und Gewinnvortrag vor dem Geschäft</t>
  </si>
  <si>
    <t xml:space="preserve">Flüssige Mittel vor dem Geschäft</t>
  </si>
  <si>
    <t xml:space="preserve">entscheidet, ob die Steuerrechnung bezahlt werden kann</t>
  </si>
  <si>
    <t xml:space="preserve">Angefangene Arbeiten Campus Elgg (aktiviert)</t>
  </si>
  <si>
    <t xml:space="preserve">eigene Entwicklungsleistungen, sofern noch nicht als Aufwand verbucht</t>
  </si>
  <si>
    <t xml:space="preserve">Beteiligung Tetris AG zu Anschaffungskosten</t>
  </si>
  <si>
    <t xml:space="preserve">Liberierung des Aktienkapitals vom 16.06.2025</t>
  </si>
  <si>
    <t xml:space="preserve">Fremdkapital Skyline Properties GmbH</t>
  </si>
  <si>
    <t xml:space="preserve">Entwicklungshonorar an die Tetris AG</t>
  </si>
  <si>
    <t xml:space="preserve">Anteil Prefadom 1'250'000 plus Anteil Keller 2'156'000</t>
  </si>
  <si>
    <t xml:space="preserve">Eigene Entwicklungskosten, die dem Honorar gegenüberstehen</t>
  </si>
  <si>
    <t xml:space="preserve">Auflösung der angefangenen Arbeiten</t>
  </si>
  <si>
    <t xml:space="preserve">Effektiver Gewinnsteuersatz</t>
  </si>
  <si>
    <t xml:space="preserve">Bund, Kanton und Gemeinde zusammen — beim Steuerberater bestätigen lassen</t>
  </si>
  <si>
    <t xml:space="preserve">Zu wandelnder Betrag</t>
  </si>
  <si>
    <t xml:space="preserve">muss mit Szenario A auf Blatt 10 übereinstimmen</t>
  </si>
  <si>
    <t xml:space="preserve">B · BILANZ SKYLINE PROPERTIES GMBH — DREI ZEITPUNKTE</t>
  </si>
  <si>
    <t xml:space="preserve">Bewegung</t>
  </si>
  <si>
    <t xml:space="preserve">vor Fakturierung</t>
  </si>
  <si>
    <t xml:space="preserve">nach Fakturierung</t>
  </si>
  <si>
    <t xml:space="preserve">nach Wandlung</t>
  </si>
  <si>
    <t xml:space="preserve">durch beide Vorgänge unberührt — kein Geld fliesst</t>
  </si>
  <si>
    <t xml:space="preserve">Angefangene Arbeiten Campus Elgg</t>
  </si>
  <si>
    <t xml:space="preserve">werden mit der Fakturierung aufgelöst</t>
  </si>
  <si>
    <t xml:space="preserve">Forderung gegenüber Tetris AG</t>
  </si>
  <si>
    <t xml:space="preserve">entsteht mit der Rechnung, verschwindet mit der Wandlung</t>
  </si>
  <si>
    <t xml:space="preserve">Beteiligung Tetris AG</t>
  </si>
  <si>
    <t xml:space="preserve">steigt um den gewandelten Betrag</t>
  </si>
  <si>
    <t xml:space="preserve">Fremdkapital</t>
  </si>
  <si>
    <t xml:space="preserve">Rückstellung Gewinnsteuern</t>
  </si>
  <si>
    <t xml:space="preserve">entsteht mit dem Gewinn aus der Fakturierung</t>
  </si>
  <si>
    <t xml:space="preserve">Stammkapital</t>
  </si>
  <si>
    <t xml:space="preserve">Reserven und Gewinnvortrag</t>
  </si>
  <si>
    <t xml:space="preserve">Ergebnis der Periode</t>
  </si>
  <si>
    <t xml:space="preserve">der gesamte Gewinn entsteht bei der Fakturierung, nicht bei der Wandlung</t>
  </si>
  <si>
    <t xml:space="preserve">C · ERFOLGSRECHNUNG SKYLINE PROPERTIES GMBH AUS DIESEM GESCHÄFT</t>
  </si>
  <si>
    <t xml:space="preserve">Ertrag aus Entwicklungsleistung Campus Elgg</t>
  </si>
  <si>
    <t xml:space="preserve">Honorar an die Tetris AG</t>
  </si>
  <si>
    <t xml:space="preserve">Eigene Entwicklungsleistungen</t>
  </si>
  <si>
    <t xml:space="preserve">Ergebnis vor Steuern</t>
  </si>
  <si>
    <t xml:space="preserve">Gewinnsteuern</t>
  </si>
  <si>
    <t xml:space="preserve">effektiver Satz auf dem Ergebnis vor Steuern</t>
  </si>
  <si>
    <t xml:space="preserve">Jahresgewinn</t>
  </si>
  <si>
    <t xml:space="preserve">D · DIE ENTSCHEIDENDE FRAGE — SIND DIE EIGENEN KOSTEN NOCH AKTIVIERT?</t>
  </si>
  <si>
    <t xml:space="preserve">Fall</t>
  </si>
  <si>
    <t xml:space="preserve">Sachverhalt</t>
  </si>
  <si>
    <t xml:space="preserve">Steuerbarer Gewinn</t>
  </si>
  <si>
    <t xml:space="preserve">Fall 1</t>
  </si>
  <si>
    <t xml:space="preserve">Die eigenen Entwicklungskosten sind bei Skyline noch als angefangene Arbeiten aktiviert und werden jetzt aufgelöst</t>
  </si>
  <si>
    <t xml:space="preserve">Fall 2</t>
  </si>
  <si>
    <t xml:space="preserve">Die eigenen Entwicklungskosten wurden in früheren Jahren bereits als Aufwand verbucht — es gibt keinen Gegenaufwand mehr</t>
  </si>
  <si>
    <t xml:space="preserve">Unterschied in der Steuerrechnung</t>
  </si>
  <si>
    <t xml:space="preserve">E · LIQUIDITÄT — DER KRITISCHE PUNKT</t>
  </si>
  <si>
    <t xml:space="preserve">Jahresgewinn aus dem Geschäft</t>
  </si>
  <si>
    <t xml:space="preserve">buchhalterisch erzielt</t>
  </si>
  <si>
    <t xml:space="preserve">davon in bar zugeflossen</t>
  </si>
  <si>
    <t xml:space="preserve">das Honorar wurde in eine Forderung und dann in Beteiligungskapital umgewandelt</t>
  </si>
  <si>
    <t xml:space="preserve">Gewinnsteuern, in bar zu bezahlen</t>
  </si>
  <si>
    <t xml:space="preserve">die Steuer richtet sich nach dem Gewinn, nicht nach dem Geldfluss</t>
  </si>
  <si>
    <t xml:space="preserve">aus den Eröffnungswerten</t>
  </si>
  <si>
    <t xml:space="preserve">DECKUNGSLÜCKE</t>
  </si>
  <si>
    <t xml:space="preserve">so viel Geld fehlt der Skyline Properties GmbH, um die Steuerrechnung zu bezahlen</t>
  </si>
  <si>
    <t xml:space="preserve">Das ist die wichtigste Erkenntnis dieses Blattes: Die Wandlung der Forderung in Eigenkapital löst die Steuerpflicht nicht auf — sie nimmt der Skyline Properties GmbH aber die Mittel, die Steuer zu bezahlen. Drei Wege stehen offen. Erstens: Nur einen Teil wandeln und den Rest als Darlehen stehen lassen, das nach der Bankfinanzierung in bar zurückfliesst — das ist Szenario C auf Blatt 10. Zweitens: Die Fakturierung auf den Anteil der 1. Etappe beschränken und den Rest erst bei der 2. Etappe stellen. Drittens: Prüfen, ob bei Skyline Verlustvorträge oder eigene aktivierte Entwicklungskosten den Gewinn mindern. In jedem Fall gilt: vor der Fakturierung entscheiden, nicht danach.</t>
  </si>
  <si>
    <t xml:space="preserve">F · BUCHUNGSSÄTZE BEI DER SKYLINE PROPERTIES GMBH</t>
  </si>
  <si>
    <t xml:space="preserve">Fakturierung Entwicklungshonorar an die Tetris AG</t>
  </si>
  <si>
    <t xml:space="preserve">1140 Forderung Tetris AG</t>
  </si>
  <si>
    <t xml:space="preserve">3400 Ertrag Entwicklungsleistungen</t>
  </si>
  <si>
    <t xml:space="preserve">3'406'000.00</t>
  </si>
  <si>
    <t xml:space="preserve">erfolgswirksam — hier entsteht die Steuerpflicht</t>
  </si>
  <si>
    <t xml:space="preserve">4400 Aufwand eigene Entwicklungsleistungen</t>
  </si>
  <si>
    <t xml:space="preserve">1280 Angefangene Arbeiten</t>
  </si>
  <si>
    <t xml:space="preserve">gemäss Eröffnungswert</t>
  </si>
  <si>
    <t xml:space="preserve">nur, wenn die eigenen Kosten aktiviert waren</t>
  </si>
  <si>
    <t xml:space="preserve">Rückstellung für Gewinnsteuern</t>
  </si>
  <si>
    <t xml:space="preserve">8900 Direkte Steuern</t>
  </si>
  <si>
    <t xml:space="preserve">2208 Rückstellung Steuern</t>
  </si>
  <si>
    <t xml:space="preserve">berechnet</t>
  </si>
  <si>
    <t xml:space="preserve">auf dem Ergebnis vor Steuern</t>
  </si>
  <si>
    <t xml:space="preserve">WANDLUNG: Forderung wird zu Beteiligungskapital</t>
  </si>
  <si>
    <t xml:space="preserve">1480 Beteiligung Tetris AG</t>
  </si>
  <si>
    <t xml:space="preserve">gewandelter Betrag</t>
  </si>
  <si>
    <t xml:space="preserve">reiner AKTIVTAUSCH — kein Ertrag, kein Aufwand, keine Steuerfolge</t>
  </si>
  <si>
    <t xml:space="preserve">G · WERTHALTIGKEIT UND GESTEHUNGSKOSTEN DER BETEILIGUNG</t>
  </si>
  <si>
    <t xml:space="preserve">Buchwert Beteiligung Tetris AG nach der Wandlung</t>
  </si>
  <si>
    <t xml:space="preserve">Anschaffungskosten plus gewandelte Forderung</t>
  </si>
  <si>
    <t xml:space="preserve">Anteiliges Eigenkapital der Tetris AG (100 %)</t>
  </si>
  <si>
    <t xml:space="preserve">Eigenkapital nach Szenario A gemäss Blatt 10</t>
  </si>
  <si>
    <t xml:space="preserve">Über- oder Unterdeckung</t>
  </si>
  <si>
    <t xml:space="preserve">negativ bedeutet: der Buchwert liegt über dem anteiligen Eigenkapital</t>
  </si>
  <si>
    <t xml:space="preserve">Die Unterdeckung von CHF 37'346.35 setzt sich zusammen aus CHF 37'060 Emissionsabgabe und Kapitalerhöhungskosten — dieses Geld verlässt die Tetris AG, ohne einen Vermögenswert zu schaffen — sowie dem bereits aufgelaufenen Verlust von CHF 286.35. Formal müsste die Skyline Properties GmbH den Beteiligungsbuchwert um diesen Betrag berichtigen. Praktisch lässt sich die Werthaltigkeit über die stillen Reserven im Landwert und das bewilligte Bauprojekt begründen; diese Begründung gehört schriftlich in die Akten der Skyline Properties GmbH. 
Nebeneffekt zugunsten der Gruppe: Die Gestehungskosten der Beteiligung steigen von CHF 100'000 auf CHF 3'506'000. Bei einem späteren Verkauf der Tetris AG bemisst sich der Beteiligungsabzug nach Art. 70 DBG an diesen Gestehungskosten — der steuerbare Kapitalgewinn fällt entsprechend tiefer aus. Die Wandlung ist insofern nicht nur eine Bilanzkosmetik, sondern verbessert die Ausgangslage für einen späteren Exit.</t>
  </si>
  <si>
    <t xml:space="preserve">Ablauf der Kapitalerhöhung mit Verrechnungsliberierung</t>
  </si>
  <si>
    <t xml:space="preserve">Neun Schritte, in dieser Reihenfolge. Der kritische Punkt für die Tetris AG ist Schritt 4: Trotz Opting-out braucht es zwingend die Prüfungsbestätigung eines zugelassenen Revisors. Und Schritt 8 hat eine harte Frist — der Handelsregistereintrag muss innert sechs Monaten nach dem Beschluss der Generalversammlung erfolgen.</t>
  </si>
  <si>
    <t xml:space="preserve">Was zu tun ist</t>
  </si>
  <si>
    <t xml:space="preserve">Wer</t>
  </si>
  <si>
    <t xml:space="preserve">Ergebnis / Beleg</t>
  </si>
  <si>
    <t xml:space="preserve">Forderung belegen</t>
  </si>
  <si>
    <t xml:space="preserve">Skyline / Tetris</t>
  </si>
  <si>
    <t xml:space="preserve">Entwicklungsvertrag und Honorarrechnung ausfertigen, bei beiden Gesellschaften verbuchen. Ohne dokumentierte, fällige und werthaltige Forderung ist keine Verrechnungsliberierung möglich.</t>
  </si>
  <si>
    <t xml:space="preserve">Entwicklungsvertrag, Honorarrechnung, Buchungsbeleg</t>
  </si>
  <si>
    <t xml:space="preserve">Zwischenabschluss erstellen</t>
  </si>
  <si>
    <t xml:space="preserve">Aktueller Abschluss als Grundlage für den Kapitalerhöhungsbericht und die Prüfung der Verrechnungsforderung. Eine gesetzliche Frist gibt es für die ordentliche Kapitalerhöhung nicht; Notariat und Revisor verlangen in der Praxis einen Abschluss, der nicht älter als sechs Monate ist.</t>
  </si>
  <si>
    <t xml:space="preserve">Zwischenabschluss per Stichtag</t>
  </si>
  <si>
    <t xml:space="preserve">Kapitalerhöhungsbericht</t>
  </si>
  <si>
    <t xml:space="preserve">Der Verwaltungsrat legt nach OR 652e Rechenschaft ab über Art, Zustand und Angemessenheit der Verrechnungsforderung sowie über die Angemessenheit der Bewertung.</t>
  </si>
  <si>
    <t xml:space="preserve">Bericht, unterzeichnet</t>
  </si>
  <si>
    <t xml:space="preserve">Prüfungsbestätigung</t>
  </si>
  <si>
    <t xml:space="preserve">zugelassener Revisor</t>
  </si>
  <si>
    <t xml:space="preserve">Nach OR 652f prüft ein zugelassener Revisor den Kapitalerhöhungsbericht und bestätigt schriftlich, dass dieser vollständig und richtig ist. Das gilt ZWINGEND auch bei Opting-out — hier ist erstmals ein Revisor einzuschalten.</t>
  </si>
  <si>
    <t xml:space="preserve">Beschluss der Generalversammlung</t>
  </si>
  <si>
    <t xml:space="preserve">Skyline als Alleinaktionärin</t>
  </si>
  <si>
    <t xml:space="preserve">Öffentlich beurkundeter Beschluss über Erhöhungsbetrag, Ausgabebetrag, Bezugsrechte und die Änderung der Statuten.</t>
  </si>
  <si>
    <t xml:space="preserve">GV-Protokoll, öffentliche Urkunde</t>
  </si>
  <si>
    <t xml:space="preserve">Zeichnung und Verrechnungserklärung</t>
  </si>
  <si>
    <t xml:space="preserve">Skyline Properties GmbH</t>
  </si>
  <si>
    <t xml:space="preserve">Zeichnungsschein nach OR 652 sowie schriftliche Erklärung, die Einlage durch Verrechnung mit der Forderung zu leisten.</t>
  </si>
  <si>
    <t xml:space="preserve">Zeichnungsschein, Verrechnungserklärung</t>
  </si>
  <si>
    <t xml:space="preserve">Feststellungsbeschluss</t>
  </si>
  <si>
    <t xml:space="preserve">Der Verwaltungsrat stellt nach OR 652g öffentlich beurkundet fest, dass die Erhöhung ordnungsgemäss erfolgt ist, und passt die Statuten an.</t>
  </si>
  <si>
    <t xml:space="preserve">Feststellungsbeschluss, öffentliche Urkunde</t>
  </si>
  <si>
    <t xml:space="preserve">Eintrag im Handelsregister</t>
  </si>
  <si>
    <t xml:space="preserve">Notariat</t>
  </si>
  <si>
    <t xml:space="preserve">Anmeldung mit sämtlichen Belegen. Der Eintrag muss innert sechs Monaten nach dem GV-Beschluss erfolgen, sonst fällt dieser dahin (OR 650 Abs. 3).</t>
  </si>
  <si>
    <t xml:space="preserve">HR-Eintrag, Tagebuchnummer</t>
  </si>
  <si>
    <t xml:space="preserve">Meldungen an die ESTV</t>
  </si>
  <si>
    <t xml:space="preserve">Erstens: Emissionsabgabe innert 30 Tagen nach dem Handelsregistereintrag deklarieren und bezahlen — 1 % auf den Kapitaleinlagen über dem Freibetrag von CHF 1 Mio. Zweitens: Die Kapitaleinlagereserve innert 30 Tagen nach Genehmigung der Jahresrechnung mit Formular 170 melden — sonst verliert sie die steuerfreie Rückzahlbarkeit.</t>
  </si>
  <si>
    <t xml:space="preserve">Deklaration Emissionsabgabe, Formular 170, Zahlungsbeleg</t>
  </si>
  <si>
    <t xml:space="preserve">KOSTEN DER KAPITALERHÖHUNG</t>
  </si>
  <si>
    <t xml:space="preserve">1 % auf den Kapitaleinlagen über CHF 1 Mio</t>
  </si>
  <si>
    <t xml:space="preserve">Szenario A; bei Verweigerung des Freibetrags CHF 34'060. Fällig innert 30 Tagen nach dem Handelsregistereintrag.</t>
  </si>
  <si>
    <t xml:space="preserve">Öffentliche Beurkundung</t>
  </si>
  <si>
    <t xml:space="preserve">Notariat, zwei Urkunden</t>
  </si>
  <si>
    <t xml:space="preserve">Beschluss der Generalversammlung und Feststellungsbeschluss; Schätzwert</t>
  </si>
  <si>
    <t xml:space="preserve">Handelsregister</t>
  </si>
  <si>
    <t xml:space="preserve">Eintragungsgebühr</t>
  </si>
  <si>
    <t xml:space="preserve">abhängig vom Erhöhungsbetrag; Schätzwert</t>
  </si>
  <si>
    <t xml:space="preserve">zugelassener Revisor nach OR 652f</t>
  </si>
  <si>
    <t xml:space="preserve">erstmalige Mandatierung, inkl. Prüfung der Werthaltigkeit der Forderung; Schätzwert</t>
  </si>
  <si>
    <t xml:space="preserve">Rechts- und Beratungskosten</t>
  </si>
  <si>
    <t xml:space="preserve">Vertragswerk, Steuerberatung</t>
  </si>
  <si>
    <t xml:space="preserve">Schätzwert</t>
  </si>
  <si>
    <t xml:space="preserve">TOTAL EINMALIGE KOSTEN</t>
  </si>
  <si>
    <t xml:space="preserve">Gegenüberstellung: Die Kapitalerhöhung kostet einmalig rund CHF 37'000. Ohne sie bleibt die Eigenkapitalquote bei 1,0 %, das verdeckte Eigenkapital bei rund CHF 2,98 Mio und der Puffer bis zum Kapitalverlust bei CHF 49'714 — mit der Folge, dass schon das nächste Treuhandhonorar eine Revisionspflicht auslöst. Die Kosten sind gegenüber der Wirkung gering.</t>
  </si>
  <si>
    <t xml:space="preserve">Investitionsübersicht Campus Elgg — 1. Etappe Gebäude A/B/C</t>
  </si>
  <si>
    <t xml:space="preserve">Land</t>
  </si>
  <si>
    <t xml:space="preserve">Kaufpreis beider Kaufverträge</t>
  </si>
  <si>
    <t xml:space="preserve">beurkundet 11.07.2025, Vollzug nach Lex-Koller-Entscheid</t>
  </si>
  <si>
    <t xml:space="preserve">Anschaffungsnebenkosten</t>
  </si>
  <si>
    <t xml:space="preserve">Beurkundungsgebühren Notariat Elgg, Anteil 50 %</t>
  </si>
  <si>
    <t xml:space="preserve">Entwicklung</t>
  </si>
  <si>
    <t xml:space="preserve">Entwicklungsleistung Skyline Properties GmbH</t>
  </si>
  <si>
    <t xml:space="preserve">Planung</t>
  </si>
  <si>
    <t xml:space="preserve">Urbanstreet Development AG inkl. Subplaner</t>
  </si>
  <si>
    <t xml:space="preserve">Vorprojekt, Bauprojekt, Ausschreibungsprojekt bis Q2 2026</t>
  </si>
  <si>
    <t xml:space="preserve">Ingesa AG — Liegenschaftsentwässerung</t>
  </si>
  <si>
    <t xml:space="preserve">Bau</t>
  </si>
  <si>
    <t xml:space="preserve">Erstellungskosten Haus A/B/C gem. KV Methabau</t>
  </si>
  <si>
    <t xml:space="preserve">Preisstand Juni 2026, exkl. MWST, Grundlage BIM-Modell</t>
  </si>
  <si>
    <t xml:space="preserve">GESAMTINVESTITION 1. ETAPPE (EXKL. MWST)</t>
  </si>
  <si>
    <t xml:space="preserve">MEHRWERTSTEUER — DAS GRÖSSTE EINZELNE OPTIMIERUNGSPOTENZIAL</t>
  </si>
  <si>
    <t xml:space="preserve">Basis CHF</t>
  </si>
  <si>
    <t xml:space="preserve">Satz</t>
  </si>
  <si>
    <t xml:space="preserve">Vorsteuer CHF</t>
  </si>
  <si>
    <t xml:space="preserve">Architektur- und Planerleistungen (bereits erbracht)</t>
  </si>
  <si>
    <t xml:space="preserve">Entwicklungsleistung Skyline Properties (MWST-Behandlung offen, P-13)</t>
  </si>
  <si>
    <t xml:space="preserve">Vorsteuerpotenzial insgesamt</t>
  </si>
  <si>
    <t xml:space="preserve">Die Tetris AG ist heute nicht mehrwertsteuerpflichtig. Ohne Registrierung ist die gesamte Vorsteuer verloren. Zwei Wege stehen offen: erstens die freiwillige Unterstellung nach Art. 11 MWSTG, möglich ab Beginn der laufenden Steuerperiode; zweitens die Einlageentsteuerung nach Art. 32 MWSTG bei späterem Eintritt in die Steuerpflicht — dabei wird die Vorsteuer jedoch pro abgelaufenes Jahr um einen Fünftel gekürzt (Dienstleistungen und bewegliche Gegenstände) beziehungsweise um einen Zwanzigstel (unbewegliche Gegenstände). Auf den bereits erbrachten Planerleistungen bedeutet jedes Jahr Wartezeit rund CHF 32'000 verlorene Vorsteuer. Voraussetzung für den Vorsteuerabzug ist, dass die spätere Vermietung nach Art. 22 MWSTG optiert wird — bei einem Gewerbecampus ohne Wohnnutzung ist das möglich.</t>
  </si>
  <si>
    <t xml:space="preserve">Belegverzeichnis und Grundlagendokumente</t>
  </si>
  <si>
    <t xml:space="preserve">Dokument</t>
  </si>
  <si>
    <t xml:space="preserve">Bezug Buchung</t>
  </si>
  <si>
    <t xml:space="preserve">Inhalt / Verwendung</t>
  </si>
  <si>
    <t xml:space="preserve">D-01</t>
  </si>
  <si>
    <t xml:space="preserve">Entwurf Jahresabschluss 2025 Tetris AG</t>
  </si>
  <si>
    <t xml:space="preserve">22.06.2026</t>
  </si>
  <si>
    <t xml:space="preserve">1–8</t>
  </si>
  <si>
    <t xml:space="preserve">Grundlage für Block A des Journals; wird nicht eingereicht, sondern in das Langjahr überführt</t>
  </si>
  <si>
    <t xml:space="preserve">D-02</t>
  </si>
  <si>
    <t xml:space="preserve">Kaufvertrag Keller AG Ziegeleien / Tetris AG, Kat. EL4893</t>
  </si>
  <si>
    <t xml:space="preserve">11.07.2025</t>
  </si>
  <si>
    <t xml:space="preserve">Kaufpreis CHF 1'885'300; Lex-Koller-Bedingung, Verfall am 23.12.2026</t>
  </si>
  <si>
    <t xml:space="preserve">D-03</t>
  </si>
  <si>
    <t xml:space="preserve">Kaufvertrag Keller Prefadom AG / Tetris AG, Kat. EL4894</t>
  </si>
  <si>
    <t xml:space="preserve">10, 11</t>
  </si>
  <si>
    <t xml:space="preserve">Kaufpreis CHF 2'977'205; Abparzellierung Landwirtschaftszone, Lex-Koller-Bedingung</t>
  </si>
  <si>
    <t xml:space="preserve">D-04</t>
  </si>
  <si>
    <t xml:space="preserve">Kaufpreisberechnung, handschriftlich</t>
  </si>
  <si>
    <t xml:space="preserve">12.08.2026</t>
  </si>
  <si>
    <t xml:space="preserve">9–11</t>
  </si>
  <si>
    <t xml:space="preserve">Aufteilung Landwert und Projektkosten; Herleitung des Totals von CHF 4'862'505</t>
  </si>
  <si>
    <t xml:space="preserve">D-05</t>
  </si>
  <si>
    <t xml:space="preserve">Kostenvoranschlag Methabau — Erstellungskosten Haus A/B/C</t>
  </si>
  <si>
    <t xml:space="preserve">01.07.2026</t>
  </si>
  <si>
    <t xml:space="preserve">CHF 30'400'954 exkl. MWST; Grundlage der Investitionsübersicht und der Bankfinanzierung</t>
  </si>
  <si>
    <t xml:space="preserve">D-06</t>
  </si>
  <si>
    <t xml:space="preserve">Whiteboard-Notizen Entwicklung, Architektur, Land</t>
  </si>
  <si>
    <t xml:space="preserve">Juli 2026</t>
  </si>
  <si>
    <t xml:space="preserve">12–14</t>
  </si>
  <si>
    <t xml:space="preserve">BKP-Struktur, Darlehenslösung, Finanzierungspfad, Zielwert CHF 800.–/m²</t>
  </si>
  <si>
    <t xml:space="preserve">D-07</t>
  </si>
  <si>
    <t xml:space="preserve">2022</t>
  </si>
  <si>
    <t xml:space="preserve">12, 13</t>
  </si>
  <si>
    <t xml:space="preserve">Gewinnaufteilung Keller, Müller, Skyline Properties; Referenzwerte für die Werthaltigkeit</t>
  </si>
  <si>
    <t xml:space="preserve">D-08</t>
  </si>
  <si>
    <t xml:space="preserve">Entwicklungsvertrag Skyline Properties GmbH</t>
  </si>
  <si>
    <t xml:space="preserve">AUSSTEHEND</t>
  </si>
  <si>
    <t xml:space="preserve">Beleg für die Herleitung von CHF 1'250'000 und CHF 2'156'000 — Pendenz P-06</t>
  </si>
  <si>
    <t xml:space="preserve">D-09</t>
  </si>
  <si>
    <t xml:space="preserve">Honorarrechnung Urbanstreet Development AG inkl. Leistungsnachweis</t>
  </si>
  <si>
    <t xml:space="preserve">Beleg für CHF 1'960'000 und Abgrenzung 1. gegen 2. Etappe — Pendenz P-06</t>
  </si>
  <si>
    <t xml:space="preserve">D-10</t>
  </si>
  <si>
    <t xml:space="preserve">Rangrücktrittserklärungen Skyline Properties und Urbanstreet Development</t>
  </si>
  <si>
    <t xml:space="preserve">Voraussetzung für die Genehmigung des Abschlusses — Pendenz P-01</t>
  </si>
  <si>
    <t xml:space="preserve">D-11</t>
  </si>
  <si>
    <t xml:space="preserve">Bankkontoauszug Bank Avera per 30.06.2026</t>
  </si>
  <si>
    <t xml:space="preserve">18</t>
  </si>
  <si>
    <t xml:space="preserve">Abstimmung flüssige Mittel und Kontoführungsgebühren H1 2026 — Pendenz P-07</t>
  </si>
  <si>
    <t xml:space="preserve">D-12</t>
  </si>
  <si>
    <t xml:space="preserve">Aktuelle Bewertung / Verkehrswertschätzung Campus Elgg</t>
  </si>
  <si>
    <t xml:space="preserve">Werthaltigkeitsnachweis nach OR 960a Abs. 3 — Pendenz P-03</t>
  </si>
  <si>
    <t xml:space="preserve">D-13</t>
  </si>
  <si>
    <t xml:space="preserve">Verfahrensstand Bezirksrat Winterthur (Art. 17 BewG)</t>
  </si>
  <si>
    <t xml:space="preserve">Offenlegung im Anhang und im Kreditdossier — Pendenz P-08</t>
  </si>
  <si>
    <t xml:space="preserve">D-14</t>
  </si>
  <si>
    <t xml:space="preserve">undatiert</t>
  </si>
  <si>
    <t xml:space="preserve">CHF 45'000 per Saldo aller Ansprüche; Quartierplanleistungen ausdrücklich ausgenommen</t>
  </si>
  <si>
    <t xml:space="preserve">Die braun hinterlegten Dokumente fehlen noch. Ohne sie kann Fritz Beck die Buchungen 12, 13, 14 und 18 nicht belegen und der Verwaltungsrat den Abschluss nicht verantworten.</t>
  </si>
  <si>
    <t xml:space="preserve">Offene Punkte und Pendenzen</t>
  </si>
  <si>
    <t xml:space="preserve">Priorität</t>
  </si>
  <si>
    <t xml:space="preserve">Verantwortlich</t>
  </si>
  <si>
    <t xml:space="preserve">Frist</t>
  </si>
  <si>
    <t xml:space="preserve">P-01</t>
  </si>
  <si>
    <t xml:space="preserve">Kritisch</t>
  </si>
  <si>
    <t xml:space="preserve">Rangrücktrittserklärungen einholen</t>
  </si>
  <si>
    <t xml:space="preserve">Skyline Properties GmbH (CHF 3'406'000) und Urbanstreet Development AG (CHF 1'960'000) müssen schriftlich und im Umfang der Darlehen den Rangrücktritt erklären (OR 725b Abs. 4). Die Aktiven übersteigen die Verbindlichkeiten nur um CHF 99'713.65 — jede Wertkorrektur über diesem Betrag führt ohne Rangrücktritt zur Überschuldung mit Anzeigepflicht an das Gericht.</t>
  </si>
  <si>
    <t xml:space="preserve">VR / Patrick Hüppi</t>
  </si>
  <si>
    <t xml:space="preserve">vor Genehmigung Abschluss</t>
  </si>
  <si>
    <t xml:space="preserve">P-02</t>
  </si>
  <si>
    <t xml:space="preserve">Eigenkapitalpuffer sichern — Kapitalverlust vermeiden</t>
  </si>
  <si>
    <t xml:space="preserve">Das ausgewiesene Eigenkapital beträgt CHF 99'713.65. Der Puffer bis zum Kapitalverlust nach OR 725a (Hälfte des Aktienkapitals = CHF 50'000) beträgt nur CHF 49'713.65. Jeder zusätzliche nicht aktivierbare Aufwand — Treuhand, Beratung, Notariat, Darlehenszinsen — verzehrt diesen Puffer. Bei Kapitalverlust muss die Jahresrechnung trotz Opting-out durch einen zugelassenen Revisor eingeschränkt geprüft werden.</t>
  </si>
  <si>
    <t xml:space="preserve">laufend</t>
  </si>
  <si>
    <t xml:space="preserve">P-03</t>
  </si>
  <si>
    <t xml:space="preserve">Werthaltigkeitsnachweis / aktuelle Bewertung beschaffen</t>
  </si>
  <si>
    <t xml:space="preserve">Massgeblich für den Landvergleich ist BKP 0 mit CHF 7'401'154.75 oder CHF 650.65/m² Bauzone — nur diese Position ist mit Baulandpreisen vergleichbar. Gegenüber dem Whiteboard-Zielwert von CHF 800.–/m² ist sie gedeckt, gegenüber der Kalkulation 2022 von CHF 632.50/m² besteht eine rechnerische Unterdeckung von CHF 206'467. Die Planungs- und Architekturleistungen in BKP 296 (CHF 2'875'000) sind separat zu beurteilen: ihr Wert liegt im bewilligten Bauprojekt, nicht im Boden. Für die Aktivierung ist ein aktueller, datierter Wertnachweis erforderlich (OR 960a Abs. 3) — Verkehrswertschätzung des Landes plus Ertragswertrechnung des fertigen Campus. Die auf dem Whiteboard vorgesehene «Neue Bewertung intern (SV + Fin)» ist genau dieser Nachweis.</t>
  </si>
  <si>
    <t xml:space="preserve">VR / Schätzungsexperte</t>
  </si>
  <si>
    <t xml:space="preserve">P-04</t>
  </si>
  <si>
    <t xml:space="preserve">Hoch</t>
  </si>
  <si>
    <t xml:space="preserve">MWST — freiwillige Unterstellung prüfen und Frist wahren</t>
  </si>
  <si>
    <t xml:space="preserve">Die Tetris AG ist nicht MWST-registriert. Auf den Architekturleistungen von CHF 1'960'000 liegen bei 8,1 % rund CHF 158'760 Vorsteuer, auf dem Bauvolumen von CHF 30'400'954 rund CHF 2'462'477. Die Einlageentsteuerung nach Art. 32 MWSTG reduziert sich bei Dienstleistungen um 20 % pro Jahr — jedes Jahr Wartezeit kostet rund CHF 32'000.</t>
  </si>
  <si>
    <t xml:space="preserve">sofort</t>
  </si>
  <si>
    <t xml:space="preserve">P-05</t>
  </si>
  <si>
    <t xml:space="preserve">Verdecktes Eigenkapital — keine Darlehenszinsen ohne Prüfung</t>
  </si>
  <si>
    <t xml:space="preserve">Nach KS 6 ESTV ergibt sich verdecktes Eigenkapital von rund CHF 2'983'133. Zinsen auf diesem Teil sind steuerlich nicht abzugsfähig und gelten als geldwerte Leistung (Verrechnungssteuer 35 %). Solange die Darlehen zinslos geführt werden, besteht kein Risiko. Vor der ersten Zinsbelastung zwingend Steuerberater beiziehen.</t>
  </si>
  <si>
    <t xml:space="preserve">vor erster Zinsbelastung</t>
  </si>
  <si>
    <t xml:space="preserve">P-06</t>
  </si>
  <si>
    <t xml:space="preserve">Entwicklungsvertrag und Honorarrechnungen als Belege beschaffen</t>
  </si>
  <si>
    <t xml:space="preserve">Für die Buchungen 12–14 braucht Fritz Beck Originalbelege: Entwicklungsvertrag Skyline Properties (Herleitung 1'250'000 + 2'156'000), Honorarrechnung Urbanstreet Development AG mit Leistungsnachweis und Abgrenzung 1./2. Etappe. Beide sind Transaktionen unter Nahestehenden und werden von Steueramt und Bank geprüft.</t>
  </si>
  <si>
    <t xml:space="preserve">Patrick Hüppi</t>
  </si>
  <si>
    <t xml:space="preserve">vor Buchung</t>
  </si>
  <si>
    <t xml:space="preserve">P-07</t>
  </si>
  <si>
    <t xml:space="preserve">Bankkontoauszug per 30.06.2026 abstimmen</t>
  </si>
  <si>
    <t xml:space="preserve">Der Saldo von CHF 52'063.90 stammt aus dem Entwurf 2025 (unverändert per 19.05.2026). Bewegungen Januar bis Juni 2026 und die Kontoführungsgebühren H1 2026 sind über Buchung 18 nachzuführen.</t>
  </si>
  <si>
    <t xml:space="preserve">vor Abschluss</t>
  </si>
  <si>
    <t xml:space="preserve">P-08</t>
  </si>
  <si>
    <t xml:space="preserve">Mittel</t>
  </si>
  <si>
    <t xml:space="preserve">Lex-Koller-Verfahren — Status Bezirksrat Winterthur dokumentieren</t>
  </si>
  <si>
    <t xml:space="preserve">Der Feststellungsbeschluss nach Art. 17 BewG steht aus. Liegt bis 23.12.2026 kein rechtskräftiger Beschluss vor, fallen beide Kaufverträge entschädigungslos dahin. Der aktuelle Verfahrensstand gehört in den Anhang und in die Bankunterlagen.</t>
  </si>
  <si>
    <t xml:space="preserve">Patrick Hüppi / Notariat</t>
  </si>
  <si>
    <t xml:space="preserve">P-09</t>
  </si>
  <si>
    <t xml:space="preserve">Abgrenzung Anlage- oder Umlaufvermögen im VR beschliessen</t>
  </si>
  <si>
    <t xml:space="preserve">Der Gesellschaftszweck nennt Betrieb, Verwaltung und Unterhalt — das spricht für Anlagevermögen (Renditeobjekt). Bei Verkaufsabsicht wären Land und Projekt als Vorräte im Umlaufvermögen zu führen, mit Bewertung zum Niederstwert. Die Zuordnung steuert Bewertung, Abschreibung und Steuerfolgen und ist im VR-Protokoll festzuhalten.</t>
  </si>
  <si>
    <t xml:space="preserve">VR</t>
  </si>
  <si>
    <t xml:space="preserve">P-10</t>
  </si>
  <si>
    <t xml:space="preserve">Sitzgesellschaft vermeiden — Mietvertrag abschliessen</t>
  </si>
  <si>
    <t xml:space="preserve">Auf dem Whiteboard ist «Sitzgesellschaft: nein» festgehalten. Damit die Qualifikation standhält, braucht die Tetris AG einen echten Mietvertrag für Geschäftsräume und eigene Infrastruktur (Konto 6000).</t>
  </si>
  <si>
    <t xml:space="preserve">bis 31.12.2026</t>
  </si>
  <si>
    <t xml:space="preserve">P-11</t>
  </si>
  <si>
    <t xml:space="preserve">Steueramt über verlängertes erstes Geschäftsjahr informieren</t>
  </si>
  <si>
    <t xml:space="preserve">Für 2025 wird kein Abschluss eingereicht. Das ist zulässig: Nach Zürcher Steuerbuch Nr. 83.1 darf die erste Steuerperiode weniger als 24 Monate dauern, und nur im Gründungsjahr entfällt die Pflicht zum jährlichen Abschluss. Das kantonale Steueramt ist trotzdem schriftlich über das erste Geschäftsjahr vom 27.03.2025 bis 31.12.2026 zu informieren, damit keine Ermessensveranlagung 2025 ergeht. Die Kapitalsteuer wird pro rata temporis auf 21 Monate erhoben.</t>
  </si>
  <si>
    <t xml:space="preserve">P-12</t>
  </si>
  <si>
    <t xml:space="preserve">Betragshöhe Architekturleistungen final bestätigen</t>
  </si>
  <si>
    <t xml:space="preserve">Der Whiteboard-Vermerk nennt CHF 1'960'000 für Urbanstreet Development (BKP 296 total rund CHF 2'875'000, «~3 Mio inkl. NK + Ingesa»). Falls die genannten «rund 3 Mio» ausschliesslich Urbanstreet Development betreffen, erhöht sich die Position auf CHF 3'000'000 und BKP 296 auf rund CHF 3'915'000.</t>
  </si>
  <si>
    <t xml:space="preserve">P-13</t>
  </si>
  <si>
    <t xml:space="preserve">MWST-Behandlung der Entwicklungsleistung klären</t>
  </si>
  <si>
    <t xml:space="preserve">Ist der Betrag von CHF 3'406'000 inklusive oder exklusive MWST vereinbart? Bei zusätzlicher MWST von 8,1 % steigt die Position auf CHF 3'681'886. Die Angabe muss auf der Honorarrechnung stehen.</t>
  </si>
  <si>
    <t xml:space="preserve">Patrick Hüppi / Skyline Properties</t>
  </si>
  <si>
    <t xml:space="preserve">P-14</t>
  </si>
  <si>
    <t xml:space="preserve">Tief</t>
  </si>
  <si>
    <t xml:space="preserve">Wandlung Darlehen in Eigenkapital vorbereiten</t>
  </si>
  <si>
    <t xml:space="preserve">Auf dem Whiteboard vorgesehen («Darlehen → in EK», «Wandeln von Forderung in EK»). Eine Kapitalerhöhung mit Verrechnungsliberierung von CHF 3'406'000 hebt die Eigenkapitalquote von 1,0 % auf 33,7 % und beseitigt das verdeckte Eigenkapital vollständig — die entscheidende Voraussetzung für die Bankfinanzierung. Erfordert GV-Beschluss, öffentliche Beurkundung, Kapitalerhöhungsbericht und Prüfungsbestätigung eines zugelassenen Revisors. Einmalige Kosten rund CHF 37'060, davon CHF 25'060 Emissionsabgabe. Vollständig durchgerechnet auf den Blättern 10 bis 12.</t>
  </si>
  <si>
    <t xml:space="preserve">vor Bankverhandlung</t>
  </si>
  <si>
    <t xml:space="preserve">P-15</t>
  </si>
  <si>
    <t xml:space="preserve">Bexio einrichten — Kontenplan, Projekte, Belegablage</t>
  </si>
  <si>
    <t xml:space="preserve">Kontenplan gemäss Blatt 01 erfassen, Projekt «Campus Elgg 1. Etappe» anlegen, BKP als Projektunterteilung abbilden und alle Belege digital an die Buchungen hängen.</t>
  </si>
  <si>
    <t xml:space="preserve">P-16</t>
  </si>
  <si>
    <t xml:space="preserve">Aufteilung des Kaufpreises EL4894 belegen</t>
  </si>
  <si>
    <t xml:space="preserve">Im Kaufvertrag Keller Prefadom AG sind Katasternummer, Fläche und Einzelkaufpreise der beiden Teilobjekte geschwärzt; belegt ist nur das Total von CHF 2'977'205. Die Aufteilung in CHF 2'965'950 Gewerbezone (6'417 m²) und CHF 11'255 Landwirtschaftszone (2'251 m²) stützt sich allein auf die handschriftliche Kaufpreisberechnung. Für die Buchungen 10 und 11 braucht Fritz Beck einen prüffähigen Beleg: die vollständige Vertragsausfertigung oder die Mutationsurkunde des Geometers. Bis dahin ist die Aufteilung als Schätzung zu kennzeichnen.</t>
  </si>
  <si>
    <t xml:space="preserve">Patrick Hüppi / Notariat Elgg</t>
  </si>
  <si>
    <t xml:space="preserve">P-17</t>
  </si>
  <si>
    <t xml:space="preserve">Steuerfolge der Fakturierung bei Skyline vor der Wandlung durchrechnen</t>
  </si>
  <si>
    <t xml:space="preserve">Die Fakturierung des Entwicklungshonorars von CHF 3'406'000 löst bei der Skyline Properties GmbH die Gewinnsteuer aus — unabhängig davon, ob die Forderung später in Eigenkapital gewandelt wird. Je nachdem, ob die eigenen Entwicklungskosten dort noch als angefangene Arbeiten aktiviert sind oder in früheren Jahren bereits als Aufwand verbucht wurden, beträgt die Steuer rund CHF 334'000 oder rund CHF 596'000. Nach der Wandlung hat Skyline keine Forderung mehr, aus der sich die Steuer bezahlen liesse. Vor der Rechnungstellung entscheiden, nicht danach.</t>
  </si>
  <si>
    <t xml:space="preserve">CFO / Steuerberater / Skyline</t>
  </si>
  <si>
    <t xml:space="preserve">P-18</t>
  </si>
  <si>
    <t xml:space="preserve">Freibetrag bei der Emissionsabgabe bestätigen lassen</t>
  </si>
  <si>
    <t xml:space="preserve">Die Kapitalerhöhung löst eine Emissionsabgabe von 1 % aus. Mit dem Freibetrag von CHF 1 Mio beträgt sie in Szenario A CHF 25'060, ohne ihn CHF 34'060. Bei einer Verrechnungsliberierung ist die Anwendung des Freibetrags in der Praxis nicht unbestritten. Zudem hat die Tetris AG nach Abgabe und Kosten nur noch rund CHF 15'000 flüssige Mittel — die Bareinlage im Szenario B ist deshalb kein Detail, sondern eine Bedingung.</t>
  </si>
  <si>
    <t xml:space="preserve">Fritz Beck / Steuerberater</t>
  </si>
  <si>
    <t xml:space="preserve">vor GV-Beschluss</t>
  </si>
  <si>
    <t xml:space="preserve">Importvorlage Bexio — Buchungszeilen</t>
  </si>
  <si>
    <t xml:space="preserve">Diese Tabelle enthält dieselben Buchungen wie Blatt 02 in der Reihenfolge Datum, Soll, Haben, Betrag, Text, Referenz. Bexio bietet je nach Ausbaustufe keinen direkten Import manueller Buchungssätze an; die Erfassung erfolgt dann über die Schnittstelle oder von Hand. Bei 18 Buchungen ist die manuelle Erfassung der schnellere Weg — diese Tabelle ist dafür die Vorlage. Vorher prüfen: alle Konten sind angelegt, Buchung 18 hat einen Betrag, und die Belege werden digital an die Buchungen gehängt.</t>
  </si>
  <si>
    <t xml:space="preserve">Soll-Konto</t>
  </si>
  <si>
    <t xml:space="preserve">Haben-Konto</t>
  </si>
  <si>
    <t xml:space="preserve">Währung</t>
  </si>
  <si>
    <t xml:space="preserve">Referenz</t>
  </si>
  <si>
    <t xml:space="preserve">Änderungsprotokoll — Version 3.0, Stand 01.09.2026</t>
  </si>
  <si>
    <t xml:space="preserve">Jede Änderung seit der ersten Fassung mit Begründung. Version 1.0 war die Grundaufbereitung, Version 2.0 ergänzte die Eigenkapitalsimulation, Version 3.0 ist die kritische Gesamtdurchsicht. Korrekturen sind braun hinterlegt, Ergänzungen der Version 3.0 grün.</t>
  </si>
  <si>
    <t xml:space="preserve">Version</t>
  </si>
  <si>
    <t xml:space="preserve">Bereich</t>
  </si>
  <si>
    <t xml:space="preserve">Was geändert wurde</t>
  </si>
  <si>
    <t xml:space="preserve">Warum / Wirkung</t>
  </si>
  <si>
    <t xml:space="preserve">1.0</t>
  </si>
  <si>
    <t xml:space="preserve">1.01</t>
  </si>
  <si>
    <t xml:space="preserve">Grundlagen</t>
  </si>
  <si>
    <t xml:space="preserve">Sieben Quelldokumente ausgewertet, inkl. Whiteboard-Notizen und handschriftlicher Kaufpreisberechnung.</t>
  </si>
  <si>
    <t xml:space="preserve">Alle Beträge des Zahlenwerks sind auf ein Quelldokument rückführbar (Blatt Belegverzeichnis).</t>
  </si>
  <si>
    <t xml:space="preserve">1.02</t>
  </si>
  <si>
    <t xml:space="preserve">Entscheide</t>
  </si>
  <si>
    <t xml:space="preserve">Vier Entscheide des Verwaltungsrates eingeholt: Landkauf bilanzieren, Entwicklungsgewinn CHF 3'406'000, MWST nicht registriert, Zwischenabschluss im Langjahr.</t>
  </si>
  <si>
    <t xml:space="preserve">Das Zahlenwerk beruht auf ausdrücklichen Entscheiden, nicht auf Annahmen.</t>
  </si>
  <si>
    <t xml:space="preserve">1.03</t>
  </si>
  <si>
    <t xml:space="preserve">Buchungslogik</t>
  </si>
  <si>
    <t xml:space="preserve">Aufwand-oder-Aktivierung über das Gesamtkostenverfahren mit Konto 3700 gelöst.</t>
  </si>
  <si>
    <t xml:space="preserve">Erfüllt die Vorgabe der Geschäftsleitung (Kosten sichtbar) und den Einwand des Buchhalters (Aktivierung) zugleich.</t>
  </si>
  <si>
    <t xml:space="preserve">1.04</t>
  </si>
  <si>
    <t xml:space="preserve">Zahlenwerk</t>
  </si>
  <si>
    <t xml:space="preserve">Bilanz, Erfolgsrechnung, Buchungsjournal mit 18 Sätzen, BKP-Kostenträgerrechnung, Kaufpreisherleitung, Werthaltigkeit, verdecktes Eigenkapital, Gesamtinvestition.</t>
  </si>
  <si>
    <t xml:space="preserve">Aktiven 10'328'218.65 = Passiven; BKP-Total = Anlagevermögen; alle Kontrollen null.</t>
  </si>
  <si>
    <t xml:space="preserve">1.05</t>
  </si>
  <si>
    <t xml:space="preserve">Cockpit</t>
  </si>
  <si>
    <t xml:space="preserve">Cockpit im Urbanstreet-Erscheinungsbild mit Verlinkung aller PDF, Cloudflare-Paket und Anleitung.</t>
  </si>
  <si>
    <t xml:space="preserve">Ein Ort für Verwaltungsrat, Buchhalter und Bank.</t>
  </si>
  <si>
    <t xml:space="preserve">1.06</t>
  </si>
  <si>
    <t xml:space="preserve">Prüfung</t>
  </si>
  <si>
    <t xml:space="preserve">Adversarische Prüfung des Zahlenwerks: keine Rechenfehler; vier innere Unstimmigkeiten korrigiert (Werthaltigkeits-Bezugsbasis, Rundung 33,9 %, Vorsteuer-Aufzählung, Blattzahl).</t>
  </si>
  <si>
    <t xml:space="preserve">Werthaltigkeit wird seither einheitlich auf BKP 0 bezogen.</t>
  </si>
  <si>
    <t xml:space="preserve">1.07</t>
  </si>
  <si>
    <t xml:space="preserve">Pendenzen</t>
  </si>
  <si>
    <t xml:space="preserve">P-16 ergänzt: Aufteilung des Kaufpreises EL4894 ist im Vertrag geschwärzt, nur die Handnotiz belegt sie.</t>
  </si>
  <si>
    <t xml:space="preserve">Buchungen 10 und 11 brauchen einen prüffähigen Beleg.</t>
  </si>
  <si>
    <t xml:space="preserve">2.0</t>
  </si>
  <si>
    <t xml:space="preserve">2.01</t>
  </si>
  <si>
    <t xml:space="preserve">Simulation</t>
  </si>
  <si>
    <t xml:space="preserve">Drei neue Excel-Blätter: Eigenkapitalsimulation Tetris AG (drei Szenarien), Simulation Skyline Properties GmbH, Ablauf der Kapitalerhöhung.</t>
  </si>
  <si>
    <t xml:space="preserve">Antwort auf die Frage, wie die Wandlung der Darlehen in Eigenkapital auf beiden Seiten wirkt.</t>
  </si>
  <si>
    <t xml:space="preserve">2.02</t>
  </si>
  <si>
    <t xml:space="preserve">Emissionsabgabe (1 % über CHF 1 Mio), Kapitalerhöhungskosten und Liquiditätsfolge modelliert.</t>
  </si>
  <si>
    <t xml:space="preserve">Szenario A kostet CHF 37'060 in bar; Szenario B ist ohne Bareinlage von CHF 60'000 nicht finanzierbar.</t>
  </si>
  <si>
    <t xml:space="preserve">2.03</t>
  </si>
  <si>
    <t xml:space="preserve">Steuer- und Liquiditätswirkung bei Skyline: Gewinn entsteht mit der Fakturierung, nicht mit der Wandlung; Deckungslücke rund CHF 284'000.</t>
  </si>
  <si>
    <t xml:space="preserve">Die Wandlung spart keine Steuern, sie nimmt Skyline die Mittel, sie zu bezahlen.</t>
  </si>
  <si>
    <t xml:space="preserve">2.04</t>
  </si>
  <si>
    <t xml:space="preserve">Dunkelmodus mit Umschalter, aus derselben Palette abgeleitet; alle Kontraste nachgerechnet.</t>
  </si>
  <si>
    <t xml:space="preserve">Schwächster Kontrast 4.5 — alle Kombinationen lesbar.</t>
  </si>
  <si>
    <t xml:space="preserve">2.05</t>
  </si>
  <si>
    <t xml:space="preserve">Sieben Grafiken: Gruppenstruktur, Buchungslogik, Kapitalstruktur, Eigenkapital-Wasserfall, Szenarienvergleich, Ablaufdiagramm, Mindmap der Entscheide.</t>
  </si>
  <si>
    <t xml:space="preserve">Alle Grafiken nutzen CSS-Variablen und funktionieren in Hell und Dunkel ohne zweite Fassung.</t>
  </si>
  <si>
    <t xml:space="preserve">2.06</t>
  </si>
  <si>
    <t xml:space="preserve">Korrektur</t>
  </si>
  <si>
    <t xml:space="preserve">Puffer bis zum Kapitalverlust nach OR 725a korrigiert: Schwelle schliesst die nicht rückzahlbare gesetzliche Kapitalreserve (OR 671 Abs. 2) ein.</t>
  </si>
  <si>
    <t xml:space="preserve">Puffer in Szenario A 2'718'654 statt 2'968'654 — die frühere Zahl war um ein Viertel des Aktienkapitals zu hoch.</t>
  </si>
  <si>
    <t xml:space="preserve">2.07</t>
  </si>
  <si>
    <t xml:space="preserve">OR 652f: Prüfungsbestätigung durch einen zugelassenen Revisor, nicht Revisionsexperten.</t>
  </si>
  <si>
    <t xml:space="preserve">Falschzitat behoben.</t>
  </si>
  <si>
    <t xml:space="preserve">2.08</t>
  </si>
  <si>
    <t xml:space="preserve">Bundesgerichtsentscheid 9C_610/2022 als Beleg für den Freibetrag entfernt — er betrifft den Sanierungsfreibetrag (lit. k), nicht lit. h.</t>
  </si>
  <si>
    <t xml:space="preserve">Vorbehalt bleibt, Referenz war falsch.</t>
  </si>
  <si>
    <t xml:space="preserve">2.09</t>
  </si>
  <si>
    <t xml:space="preserve">Konto 2207 «Geschuldete Stempelabgaben» für die Emissionsabgabe eingeführt; vorher fälschlich auf 2206 Verrechnungssteuer.</t>
  </si>
  <si>
    <t xml:space="preserve">Saubere Kontierung.</t>
  </si>
  <si>
    <t xml:space="preserve">2.10</t>
  </si>
  <si>
    <t xml:space="preserve">Werthaltigkeit der Beteiligung bei Skyline: Unterdeckung 37'346.35 = Abgabe und Kosten 37'060 plus aufgelaufener Verlust 286.35 — Formulierung «entspricht genau» ersetzt.</t>
  </si>
  <si>
    <t xml:space="preserve">Präzision.</t>
  </si>
  <si>
    <t xml:space="preserve">2.11</t>
  </si>
  <si>
    <t xml:space="preserve">Alter Wandlungsblock im Cockpit (33,9 % ohne Abgabe) entfernt und durch Verweis auf die Simulation ersetzt; Pendenz P-14 auf 33,7 % gestellt.</t>
  </si>
  <si>
    <t xml:space="preserve">Kein Widerspruch mehr zwischen zwei Fassungen derselben Rechnung.</t>
  </si>
  <si>
    <t xml:space="preserve">2.12</t>
  </si>
  <si>
    <t xml:space="preserve">P-17 (Steuerfolge der Fakturierung bei Skyline) und P-18 (Freibetrag Emissionsabgabe) ergänzt.</t>
  </si>
  <si>
    <t xml:space="preserve">Zwei Entscheide, die vor der Fakturierung fallen müssen.</t>
  </si>
  <si>
    <t xml:space="preserve">3.0</t>
  </si>
  <si>
    <t xml:space="preserve">01.09.2026</t>
  </si>
  <si>
    <t xml:space="preserve">3.01</t>
  </si>
  <si>
    <t xml:space="preserve">Anhang</t>
  </si>
  <si>
    <t xml:space="preserve">Neues Blatt 05 «Anhang» und neuer Cockpit-Abschnitt: vollständiger Anhang zum Zwischenabschluss nach OR 959c und OR 960f in 17 Ziffern, mit Eigenkapitalnachweis.</t>
  </si>
  <si>
    <t xml:space="preserve">OR 960f verlangt für jeden Zwischenabschluss einen Anhang mit Zweck, Vereinfachungen und wesentlichen Einflussfaktoren — er fehlte bisher, obwohl das Cockpit an sieben Stellen auf ihn verwies.</t>
  </si>
  <si>
    <t xml:space="preserve">3.02</t>
  </si>
  <si>
    <t xml:space="preserve">Zitat «OR 959c Abs. 2 Ziff. 4» für die Offenlegung nahestehender Geschäfte entfernt — Ziff. 4 betrifft eigene Aktien. Die Angabe ist im OR nicht vorgeschrieben; sie wird als Erläuterung nach Abs. 1 Ziff. 2 geführt.</t>
  </si>
  <si>
    <t xml:space="preserve">Falschzitat behoben; Anhang Ziffer 9 kennzeichnet die Angabe als freiwillig.</t>
  </si>
  <si>
    <t xml:space="preserve">3.03</t>
  </si>
  <si>
    <t xml:space="preserve">Länge des ersten Geschäftsjahres verifiziert: Kanton Zürich (ZStB 83.1) lässt eine erste Steuerperiode unter 24 Monaten zu; 21 Monate sind zulässig. Pendenz P-11 entsprechend präzisiert.</t>
  </si>
  <si>
    <t xml:space="preserve">Nimmt eine offene Rechtsfrage vom Tisch; die Meldung an das Steueramt bleibt nötig.</t>
  </si>
  <si>
    <t xml:space="preserve">3.04</t>
  </si>
  <si>
    <t xml:space="preserve">Pendenz P-01: Formulierung «bei jeder weiteren Wertkorrektur überschuldet» durch die exakte Schwelle ersetzt — Überschuldung ab einer Wertkorrektur von mehr als CHF 99'713.65.</t>
  </si>
  <si>
    <t xml:space="preserve">Präzision statt Dramatik.</t>
  </si>
  <si>
    <t xml:space="preserve">3.05</t>
  </si>
  <si>
    <t xml:space="preserve">Kapitalerhöhung</t>
  </si>
  <si>
    <t xml:space="preserve">Schritt 9 des Ablaufs um die Meldung der Kapitaleinlagereserven an die ESTV (Formular 170, innert 30 Tagen nach Genehmigung der Jahresrechnung) ergänzt.</t>
  </si>
  <si>
    <t xml:space="preserve">Ohne Meldung verliert die Reserve ihre steuerfreie Rückzahlbarkeit.</t>
  </si>
  <si>
    <t xml:space="preserve">3.06</t>
  </si>
  <si>
    <t xml:space="preserve">Abschnitte neu durchnummeriert (bisher fehlten 09 und 10); Eigenkapitalsimulation direkt hinter Steuern und Finanzierungsstruktur verschoben; Änderungsprotokoll als Abschnitt 15 ergänzt.</t>
  </si>
  <si>
    <t xml:space="preserve">Logischer Lesefluss: Ist-Zustand, Steuern, Simulation, Fahrplan, Pendenzen.</t>
  </si>
  <si>
    <t xml:space="preserve">3.07</t>
  </si>
  <si>
    <t xml:space="preserve">Fahrplan auf September 2026 nachgeführt; Kennzahl «Gesamtinvestition» neutral statt grün markiert; Versions- und Standvermerk in Kopf- und Fusszeile.</t>
  </si>
  <si>
    <t xml:space="preserve">Eine Investitionssumme ist kein positives Signal; Stand muss erkennbar sein.</t>
  </si>
  <si>
    <t xml:space="preserve">3.08</t>
  </si>
  <si>
    <t xml:space="preserve">Excel</t>
  </si>
  <si>
    <t xml:space="preserve">Blätter neu nummeriert (Anhang als 05, Änderungsprotokoll als 17); alle Querverweise in Texten und Formeln nachgeführt; Inhaltsverzeichnis auf Blatt 00 aktualisiert.</t>
  </si>
  <si>
    <t xml:space="preserve">Formeln zwischen den Blättern bleiben intakt — Neuberechnung ohne Fehler.</t>
  </si>
  <si>
    <t xml:space="preserve">3.09</t>
  </si>
  <si>
    <t xml:space="preserve">Blatt Bexio-Import: Beschreibung korrigiert — Bexio importiert Buchungssätze je nach Ausbaustufe nur über die Schnittstelle; das Blatt dient als Erfassungsvorlage.</t>
  </si>
  <si>
    <t xml:space="preserve">Keine falsche Erwartung an eine Importfunktion.</t>
  </si>
  <si>
    <t xml:space="preserve">3.11</t>
  </si>
  <si>
    <t xml:space="preserve">Zweite Prüfrunde: OR 960f richtig zitiert — Zweck, Vereinfachungen und Einflussfaktoren stehen in Abs. 2 Ziff. 1 bis 3, die Bezeichnungspflicht in Abs. 3; einen Abs. 4 gibt es nicht.</t>
  </si>
  <si>
    <t xml:space="preserve">Drei falsche Absatzangaben im Anhang behoben.</t>
  </si>
  <si>
    <t xml:space="preserve">3.12</t>
  </si>
  <si>
    <t xml:space="preserve">Gründungskosten: Zitat «OR 960a Abs. 2» (Folgebewertung) durch «OR 959 Abs. 2» (fehlende Aktivierungsvoraussetzung) ersetzt — Kontenplan, Erfolgsrechnung, Cockpit.</t>
  </si>
  <si>
    <t xml:space="preserve">3.13</t>
  </si>
  <si>
    <t xml:space="preserve">Neue Ziffer 11 «Ausserordentliche, einmalige oder periodenfremde Positionen» (OR 959c Abs. 2 Ziff. 12) für die Ingesa-Vergleichszahlung; Ziffer 14 um die Angabe zu eigenen Sicherheiten (Ziff. 9) ergänzt.</t>
  </si>
  <si>
    <t xml:space="preserve">Zwei Pflichtangaben, die im ersten Entwurf des Anhangs fehlten.</t>
  </si>
  <si>
    <t xml:space="preserve">3.14</t>
  </si>
  <si>
    <t xml:space="preserve">OR 725a-Warnung präzisiert: Ohne Revisionsbericht ist der Genehmigungsbeschluss nichtig (OR 731 Abs. 3), nicht bloss anfechtbar. Emissionsabgabesatz nun mit Art. 8 Abs. 1 lit. a StG belegt. Sechsmonatsregel für den Zwischenabschluss als Praxis, nicht als Gesetz bezeichnet.</t>
  </si>
  <si>
    <t xml:space="preserve">Drei überzogene oder ungenaue Rechtsaussagen korrigiert.</t>
  </si>
  <si>
    <t xml:space="preserve">3.15</t>
  </si>
  <si>
    <t xml:space="preserve">Nach der Umnummerierung verbliebene Verweise nachgezogen: «Blatt 09» für das verdeckte Eigenkapital, «Blätter 10 bis 12» in P-14, «Abschnitt 10» für die Simulation; letzter «Revisionsexperte» in der Kostenübersicht ersetzt; zweite Gesamtinvestitions-Kachel neutral gestellt; Fahrplan Bankprozess auf Oktober; Pendenzen-Lede «fünf vor der Buchung».</t>
  </si>
  <si>
    <t xml:space="preserve">Befunde der zweiten unabhängigen Prüfung.</t>
  </si>
  <si>
    <t xml:space="preserve">3.10</t>
  </si>
  <si>
    <t xml:space="preserve">Paket</t>
  </si>
  <si>
    <t xml:space="preserve">Quellcode (Datenmodell und Generatoren) als separates Archiv beigelegt; Anleitung entsprechend angepasst.</t>
  </si>
  <si>
    <t xml:space="preserve">Wer eine Zahl ändern will, ändert sie an einer Stelle — Cockpit und Excel bleiben deckungsgleich.</t>
  </si>
</sst>
</file>

<file path=xl/styles.xml><?xml version="1.0" encoding="utf-8"?>
<styleSheet xmlns="http://schemas.openxmlformats.org/spreadsheetml/2006/main">
  <numFmts count="5">
    <numFmt numFmtId="164" formatCode="General"/>
    <numFmt numFmtId="165" formatCode="#,##0.00;\(#,##0.00\);\–"/>
    <numFmt numFmtId="166" formatCode="0.0%"/>
    <numFmt numFmtId="167" formatCode="#,##0;\(#,##0\);\–"/>
    <numFmt numFmtId="168" formatCode="#,##0.00"/>
  </numFmts>
  <fonts count="23">
    <font>
      <sz val="11"/>
      <color theme="1"/>
      <name val="Calibri"/>
      <family val="2"/>
      <charset val="1"/>
    </font>
    <font>
      <sz val="10"/>
      <name val="Arial"/>
      <family val="0"/>
    </font>
    <font>
      <sz val="10"/>
      <name val="Arial"/>
      <family val="0"/>
    </font>
    <font>
      <sz val="10"/>
      <name val="Arial"/>
      <family val="0"/>
    </font>
    <font>
      <b val="true"/>
      <sz val="15"/>
      <color rgb="FF1F261A"/>
      <name val="Arial"/>
      <family val="0"/>
      <charset val="1"/>
    </font>
    <font>
      <i val="true"/>
      <sz val="10"/>
      <color rgb="FF68705F"/>
      <name val="Arial"/>
      <family val="0"/>
      <charset val="1"/>
    </font>
    <font>
      <b val="true"/>
      <sz val="10"/>
      <color rgb="FF2E3234"/>
      <name val="Arial"/>
      <family val="0"/>
      <charset val="1"/>
    </font>
    <font>
      <b val="true"/>
      <sz val="9.5"/>
      <color rgb="FF2E3234"/>
      <name val="Arial"/>
      <family val="0"/>
      <charset val="1"/>
    </font>
    <font>
      <sz val="9.5"/>
      <color rgb="FF1F261A"/>
      <name val="Arial"/>
      <family val="0"/>
      <charset val="1"/>
    </font>
    <font>
      <sz val="9"/>
      <color rgb="FF1F261A"/>
      <name val="Arial"/>
      <family val="0"/>
      <charset val="1"/>
    </font>
    <font>
      <b val="true"/>
      <sz val="9"/>
      <color rgb="FFFFFFFF"/>
      <name val="Arial"/>
      <family val="0"/>
      <charset val="1"/>
    </font>
    <font>
      <b val="true"/>
      <sz val="9.5"/>
      <name val="Arial"/>
      <family val="0"/>
      <charset val="1"/>
    </font>
    <font>
      <i val="true"/>
      <sz val="9.5"/>
      <color rgb="FF68705F"/>
      <name val="Arial"/>
      <family val="0"/>
      <charset val="1"/>
    </font>
    <font>
      <sz val="9.5"/>
      <name val="Arial"/>
      <family val="0"/>
      <charset val="1"/>
    </font>
    <font>
      <b val="true"/>
      <sz val="10"/>
      <color rgb="FF1F261A"/>
      <name val="Arial"/>
      <family val="0"/>
      <charset val="1"/>
    </font>
    <font>
      <b val="true"/>
      <sz val="10"/>
      <name val="Arial"/>
      <family val="0"/>
      <charset val="1"/>
    </font>
    <font>
      <b val="true"/>
      <sz val="11"/>
      <color rgb="FF1F261A"/>
      <name val="Arial"/>
      <family val="0"/>
      <charset val="1"/>
    </font>
    <font>
      <b val="true"/>
      <sz val="11"/>
      <name val="Arial"/>
      <family val="0"/>
      <charset val="1"/>
    </font>
    <font>
      <b val="true"/>
      <sz val="9.5"/>
      <color rgb="FF1F261A"/>
      <name val="Arial"/>
      <family val="0"/>
      <charset val="1"/>
    </font>
    <font>
      <i val="true"/>
      <sz val="9"/>
      <color rgb="FF68705F"/>
      <name val="Arial"/>
      <family val="0"/>
      <charset val="1"/>
    </font>
    <font>
      <i val="true"/>
      <sz val="9"/>
      <name val="Arial"/>
      <family val="0"/>
      <charset val="1"/>
    </font>
    <font>
      <b val="true"/>
      <sz val="10"/>
      <color rgb="FF0000FF"/>
      <name val="Arial"/>
      <family val="0"/>
      <charset val="1"/>
    </font>
    <font>
      <sz val="10"/>
      <name val="Arial"/>
      <family val="0"/>
      <charset val="1"/>
    </font>
  </fonts>
  <fills count="9">
    <fill>
      <patternFill patternType="none"/>
    </fill>
    <fill>
      <patternFill patternType="gray125"/>
    </fill>
    <fill>
      <patternFill patternType="solid">
        <fgColor rgb="FFEBEEDA"/>
        <bgColor rgb="FFECEEDD"/>
      </patternFill>
    </fill>
    <fill>
      <patternFill patternType="solid">
        <fgColor rgb="FFECEEDD"/>
        <bgColor rgb="FFEBEEDA"/>
      </patternFill>
    </fill>
    <fill>
      <patternFill patternType="solid">
        <fgColor rgb="FFEDF3DA"/>
        <bgColor rgb="FFEBEEDA"/>
      </patternFill>
    </fill>
    <fill>
      <patternFill patternType="solid">
        <fgColor rgb="FF2E3234"/>
        <bgColor rgb="FF1F261A"/>
      </patternFill>
    </fill>
    <fill>
      <patternFill patternType="solid">
        <fgColor rgb="FFF8EFD4"/>
        <bgColor rgb="FFEDF3DA"/>
      </patternFill>
    </fill>
    <fill>
      <patternFill patternType="solid">
        <fgColor rgb="FFF2E7DA"/>
        <bgColor rgb="FFECEEDD"/>
      </patternFill>
    </fill>
    <fill>
      <patternFill patternType="solid">
        <fgColor rgb="FFFFFF00"/>
        <bgColor rgb="FFFFFF00"/>
      </patternFill>
    </fill>
  </fills>
  <borders count="5">
    <border diagonalUp="false" diagonalDown="false">
      <left/>
      <right/>
      <top/>
      <bottom/>
      <diagonal/>
    </border>
    <border diagonalUp="false" diagonalDown="false">
      <left style="thin">
        <color rgb="FFDDE3C9"/>
      </left>
      <right style="thin">
        <color rgb="FFDDE3C9"/>
      </right>
      <top style="thin">
        <color rgb="FFDDE3C9"/>
      </top>
      <bottom style="thin">
        <color rgb="FFDDE3C9"/>
      </bottom>
      <diagonal/>
    </border>
    <border diagonalUp="false" diagonalDown="false">
      <left/>
      <right/>
      <top style="medium">
        <color rgb="FFC6CFAA"/>
      </top>
      <bottom/>
      <diagonal/>
    </border>
    <border diagonalUp="false" diagonalDown="false">
      <left/>
      <right/>
      <top style="medium">
        <color rgb="FFC6CFAA"/>
      </top>
      <bottom style="thin">
        <color rgb="FFDDE3C9"/>
      </bottom>
      <diagonal/>
    </border>
    <border diagonalUp="false" diagonalDown="false">
      <left/>
      <right/>
      <top style="medium">
        <color rgb="FFC6CFAA"/>
      </top>
      <bottom style="medium">
        <color rgb="FFC6CFA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9" fillId="3" borderId="0" xfId="0" applyFont="true" applyBorder="true" applyAlignment="true" applyProtection="false">
      <alignment horizontal="general" vertical="top" textRotation="0" wrapText="true" indent="0" shrinkToFit="false"/>
      <protection locked="true" hidden="false"/>
    </xf>
    <xf numFmtId="164" fontId="9" fillId="4" borderId="0" xfId="0" applyFont="true" applyBorder="true" applyAlignment="true" applyProtection="false">
      <alignment horizontal="general" vertical="top" textRotation="0" wrapText="true" indent="0" shrinkToFit="false"/>
      <protection locked="true" hidden="false"/>
    </xf>
    <xf numFmtId="164" fontId="9" fillId="2" borderId="0" xfId="0" applyFont="true" applyBorder="true" applyAlignment="true" applyProtection="false">
      <alignment horizontal="general" vertical="top" textRotation="0" wrapText="true" indent="0" shrinkToFit="false"/>
      <protection locked="true" hidden="false"/>
    </xf>
    <xf numFmtId="164" fontId="10" fillId="5" borderId="1" xfId="0" applyFont="true" applyBorder="true" applyAlignment="true" applyProtection="false">
      <alignment horizontal="general" vertical="center"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8" fillId="6" borderId="0" xfId="0" applyFont="true" applyBorder="true" applyAlignment="false" applyProtection="false">
      <alignment horizontal="general" vertical="bottom" textRotation="0" wrapText="false" indent="0" shrinkToFit="false"/>
      <protection locked="true" hidden="false"/>
    </xf>
    <xf numFmtId="164" fontId="8" fillId="4" borderId="0" xfId="0" applyFont="true" applyBorder="true" applyAlignment="false" applyProtection="false">
      <alignment horizontal="general" vertical="bottom" textRotation="0" wrapText="false" indent="0" shrinkToFit="false"/>
      <protection locked="true" hidden="false"/>
    </xf>
    <xf numFmtId="164" fontId="8" fillId="7" borderId="0" xfId="0" applyFont="true" applyBorder="true" applyAlignment="fals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general" vertical="top" textRotation="0" wrapText="true" indent="0" shrinkToFit="false"/>
      <protection locked="true" hidden="false"/>
    </xf>
    <xf numFmtId="164" fontId="8" fillId="6" borderId="1" xfId="0" applyFont="true" applyBorder="true" applyAlignment="true" applyProtection="false">
      <alignment horizontal="general" vertical="top" textRotation="0" wrapText="true" indent="0" shrinkToFit="false"/>
      <protection locked="true" hidden="false"/>
    </xf>
    <xf numFmtId="165" fontId="8" fillId="0" borderId="1" xfId="0" applyFont="true" applyBorder="true" applyAlignment="true" applyProtection="false">
      <alignment horizontal="right" vertical="top" textRotation="0" wrapText="false" indent="0" shrinkToFit="false"/>
      <protection locked="true" hidden="false"/>
    </xf>
    <xf numFmtId="164" fontId="8" fillId="2" borderId="1" xfId="0" applyFont="true" applyBorder="true" applyAlignment="true" applyProtection="false">
      <alignment horizontal="general" vertical="top" textRotation="0" wrapText="true" indent="0" shrinkToFit="false"/>
      <protection locked="true" hidden="false"/>
    </xf>
    <xf numFmtId="165" fontId="8" fillId="2" borderId="1" xfId="0" applyFont="true" applyBorder="true" applyAlignment="true" applyProtection="false">
      <alignment horizontal="right" vertical="top" textRotation="0" wrapText="false" indent="0" shrinkToFit="false"/>
      <protection locked="true" hidden="false"/>
    </xf>
    <xf numFmtId="164" fontId="8" fillId="4" borderId="1" xfId="0" applyFont="true" applyBorder="true" applyAlignment="true" applyProtection="false">
      <alignment horizontal="general" vertical="top" textRotation="0" wrapText="true" indent="0" shrinkToFit="false"/>
      <protection locked="true" hidden="false"/>
    </xf>
    <xf numFmtId="165" fontId="8" fillId="4" borderId="1" xfId="0" applyFont="true" applyBorder="true" applyAlignment="true" applyProtection="false">
      <alignment horizontal="right" vertical="top" textRotation="0" wrapText="false" indent="0" shrinkToFit="false"/>
      <protection locked="true" hidden="false"/>
    </xf>
    <xf numFmtId="165" fontId="8" fillId="6" borderId="1" xfId="0" applyFont="true" applyBorder="true" applyAlignment="true" applyProtection="false">
      <alignment horizontal="right" vertical="top" textRotation="0" wrapText="false" indent="0" shrinkToFit="false"/>
      <protection locked="true" hidden="false"/>
    </xf>
    <xf numFmtId="164" fontId="11" fillId="0" borderId="0" xfId="0" applyFont="true" applyBorder="false" applyAlignment="true" applyProtection="false">
      <alignment horizontal="right" vertical="bottom" textRotation="0" wrapText="false" indent="0" shrinkToFit="false"/>
      <protection locked="true" hidden="false"/>
    </xf>
    <xf numFmtId="165" fontId="11" fillId="0" borderId="2"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5" fontId="13" fillId="0" borderId="1" xfId="0" applyFont="true" applyBorder="true" applyAlignment="true" applyProtection="false">
      <alignment horizontal="right" vertical="bottom" textRotation="0" wrapText="false" indent="0" shrinkToFit="false"/>
      <protection locked="true" hidden="false"/>
    </xf>
    <xf numFmtId="164" fontId="0" fillId="2" borderId="3" xfId="0" applyFont="false" applyBorder="true" applyAlignment="false" applyProtection="false">
      <alignment horizontal="general" vertical="bottom" textRotation="0" wrapText="false" indent="0" shrinkToFit="false"/>
      <protection locked="true" hidden="false"/>
    </xf>
    <xf numFmtId="164" fontId="14" fillId="2" borderId="3" xfId="0" applyFont="true" applyBorder="true" applyAlignment="false" applyProtection="false">
      <alignment horizontal="general" vertical="bottom" textRotation="0" wrapText="false" indent="0" shrinkToFit="false"/>
      <protection locked="true" hidden="false"/>
    </xf>
    <xf numFmtId="165" fontId="14" fillId="2" borderId="3" xfId="0" applyFont="true" applyBorder="true" applyAlignment="true" applyProtection="false">
      <alignment horizontal="right" vertical="bottom" textRotation="0" wrapText="false" indent="0" shrinkToFit="false"/>
      <protection locked="true" hidden="false"/>
    </xf>
    <xf numFmtId="164" fontId="0" fillId="3" borderId="3" xfId="0" applyFont="false" applyBorder="true" applyAlignment="false" applyProtection="false">
      <alignment horizontal="general" vertical="bottom" textRotation="0" wrapText="false" indent="0" shrinkToFit="false"/>
      <protection locked="true" hidden="false"/>
    </xf>
    <xf numFmtId="164" fontId="14" fillId="3" borderId="3" xfId="0" applyFont="true" applyBorder="true" applyAlignment="false" applyProtection="false">
      <alignment horizontal="general" vertical="bottom" textRotation="0" wrapText="false" indent="0" shrinkToFit="false"/>
      <protection locked="true" hidden="false"/>
    </xf>
    <xf numFmtId="165" fontId="14" fillId="3" borderId="3" xfId="0" applyFont="true" applyBorder="true" applyAlignment="true" applyProtection="false">
      <alignment horizontal="right" vertical="bottom" textRotation="0" wrapText="false" indent="0" shrinkToFit="false"/>
      <protection locked="true" hidden="false"/>
    </xf>
    <xf numFmtId="165" fontId="15" fillId="4" borderId="0" xfId="0" applyFont="true" applyBorder="false" applyAlignment="true" applyProtection="false">
      <alignment horizontal="right" vertical="bottom" textRotation="0" wrapText="false" indent="0" shrinkToFit="false"/>
      <protection locked="true" hidden="false"/>
    </xf>
    <xf numFmtId="166" fontId="15" fillId="0" borderId="1" xfId="0" applyFont="true" applyBorder="true" applyAlignment="true" applyProtection="false">
      <alignment horizontal="right" vertical="bottom" textRotation="0" wrapText="false" indent="0" shrinkToFit="false"/>
      <protection locked="true" hidden="false"/>
    </xf>
    <xf numFmtId="165" fontId="15" fillId="0" borderId="1" xfId="0" applyFont="true" applyBorder="true" applyAlignment="true" applyProtection="false">
      <alignment horizontal="right" vertical="bottom" textRotation="0" wrapText="false" indent="0" shrinkToFit="false"/>
      <protection locked="true" hidden="false"/>
    </xf>
    <xf numFmtId="164" fontId="9" fillId="6" borderId="0" xfId="0" applyFont="true" applyBorder="true" applyAlignment="true" applyProtection="false">
      <alignment horizontal="general" vertical="top" textRotation="0" wrapText="true" indent="0" shrinkToFit="false"/>
      <protection locked="true" hidden="false"/>
    </xf>
    <xf numFmtId="164" fontId="0" fillId="3" borderId="4" xfId="0" applyFont="false" applyBorder="true" applyAlignment="false" applyProtection="false">
      <alignment horizontal="general" vertical="bottom" textRotation="0" wrapText="false" indent="0" shrinkToFit="false"/>
      <protection locked="true" hidden="false"/>
    </xf>
    <xf numFmtId="164" fontId="16" fillId="3" borderId="4" xfId="0" applyFont="true" applyBorder="true" applyAlignment="false" applyProtection="false">
      <alignment horizontal="general" vertical="bottom" textRotation="0" wrapText="false" indent="0" shrinkToFit="false"/>
      <protection locked="true" hidden="false"/>
    </xf>
    <xf numFmtId="165" fontId="17" fillId="3" borderId="4" xfId="0" applyFont="true" applyBorder="true" applyAlignment="true" applyProtection="false">
      <alignment horizontal="right" vertical="bottom" textRotation="0" wrapText="false" indent="0" shrinkToFit="false"/>
      <protection locked="true" hidden="false"/>
    </xf>
    <xf numFmtId="164" fontId="13" fillId="0" borderId="1" xfId="0" applyFont="true" applyBorder="true" applyAlignment="true" applyProtection="false">
      <alignment horizontal="right" vertical="bottom" textRotation="0" wrapText="false" indent="0" shrinkToFit="false"/>
      <protection locked="true" hidden="false"/>
    </xf>
    <xf numFmtId="164" fontId="18" fillId="2" borderId="1" xfId="0" applyFont="true" applyBorder="true" applyAlignment="true" applyProtection="false">
      <alignment horizontal="general" vertical="top" textRotation="0" wrapText="true" indent="0" shrinkToFit="false"/>
      <protection locked="true" hidden="false"/>
    </xf>
    <xf numFmtId="164" fontId="11" fillId="2" borderId="1" xfId="0" applyFont="true" applyBorder="true" applyAlignment="true" applyProtection="false">
      <alignment horizontal="right" vertical="bottom" textRotation="0" wrapText="false" indent="0" shrinkToFit="false"/>
      <protection locked="true" hidden="false"/>
    </xf>
    <xf numFmtId="165" fontId="8" fillId="3" borderId="1" xfId="0" applyFont="true" applyBorder="true" applyAlignment="true" applyProtection="false">
      <alignment horizontal="right" vertical="top" textRotation="0" wrapText="false" indent="0" shrinkToFit="false"/>
      <protection locked="true" hidden="false"/>
    </xf>
    <xf numFmtId="164" fontId="0" fillId="2" borderId="2" xfId="0" applyFont="false" applyBorder="true" applyAlignment="false" applyProtection="false">
      <alignment horizontal="general" vertical="bottom" textRotation="0" wrapText="false" indent="0" shrinkToFit="false"/>
      <protection locked="true" hidden="false"/>
    </xf>
    <xf numFmtId="164" fontId="15" fillId="2" borderId="2" xfId="0" applyFont="true" applyBorder="true" applyAlignment="false" applyProtection="false">
      <alignment horizontal="general" vertical="bottom" textRotation="0" wrapText="false" indent="0" shrinkToFit="false"/>
      <protection locked="true" hidden="false"/>
    </xf>
    <xf numFmtId="165" fontId="15" fillId="2" borderId="2" xfId="0" applyFont="true" applyBorder="true" applyAlignment="true" applyProtection="false">
      <alignment horizontal="right" vertical="bottom" textRotation="0" wrapText="false" indent="0" shrinkToFit="false"/>
      <protection locked="true" hidden="false"/>
    </xf>
    <xf numFmtId="164" fontId="17" fillId="3" borderId="4" xfId="0" applyFont="true" applyBorder="true" applyAlignment="false" applyProtection="false">
      <alignment horizontal="general"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7" fontId="8" fillId="0" borderId="1" xfId="0" applyFont="true" applyBorder="true" applyAlignment="true" applyProtection="false">
      <alignment horizontal="right" vertical="top" textRotation="0" wrapText="false" indent="0" shrinkToFit="false"/>
      <protection locked="true" hidden="false"/>
    </xf>
    <xf numFmtId="167" fontId="15" fillId="2" borderId="2" xfId="0" applyFont="true" applyBorder="true" applyAlignment="true" applyProtection="false">
      <alignment horizontal="right" vertical="bottom" textRotation="0" wrapText="false" indent="0" shrinkToFit="false"/>
      <protection locked="true" hidden="false"/>
    </xf>
    <xf numFmtId="168" fontId="8" fillId="0" borderId="1" xfId="0" applyFont="true" applyBorder="true" applyAlignment="true" applyProtection="false">
      <alignment horizontal="right" vertical="top" textRotation="0" wrapText="false" indent="0" shrinkToFit="false"/>
      <protection locked="true" hidden="false"/>
    </xf>
    <xf numFmtId="164" fontId="15" fillId="3" borderId="4" xfId="0" applyFont="true" applyBorder="true" applyAlignment="false" applyProtection="false">
      <alignment horizontal="general" vertical="bottom" textRotation="0" wrapText="false" indent="0" shrinkToFit="false"/>
      <protection locked="true" hidden="false"/>
    </xf>
    <xf numFmtId="168" fontId="15" fillId="3" borderId="4" xfId="0" applyFont="true" applyBorder="true" applyAlignment="true" applyProtection="false">
      <alignment horizontal="right" vertical="bottom" textRotation="0" wrapText="false" indent="0" shrinkToFit="false"/>
      <protection locked="true" hidden="false"/>
    </xf>
    <xf numFmtId="165" fontId="15" fillId="3" borderId="4" xfId="0" applyFont="true" applyBorder="true" applyAlignment="true" applyProtection="false">
      <alignment horizontal="right" vertical="bottom" textRotation="0" wrapText="false" indent="0" shrinkToFit="false"/>
      <protection locked="true" hidden="false"/>
    </xf>
    <xf numFmtId="165" fontId="11" fillId="0" borderId="1" xfId="0" applyFont="true" applyBorder="true" applyAlignment="true" applyProtection="false">
      <alignment horizontal="right" vertical="bottom" textRotation="0" wrapText="false" indent="0" shrinkToFit="false"/>
      <protection locked="true" hidden="false"/>
    </xf>
    <xf numFmtId="164" fontId="11" fillId="0" borderId="1" xfId="0" applyFont="true" applyBorder="true" applyAlignment="true" applyProtection="false">
      <alignment horizontal="center" vertical="bottom" textRotation="0" wrapText="false" indent="0" shrinkToFit="false"/>
      <protection locked="true" hidden="false"/>
    </xf>
    <xf numFmtId="166" fontId="8" fillId="0" borderId="1" xfId="0" applyFont="true" applyBorder="true" applyAlignment="true" applyProtection="false">
      <alignment horizontal="right" vertical="top" textRotation="0" wrapText="false" indent="0" shrinkToFit="false"/>
      <protection locked="true" hidden="false"/>
    </xf>
    <xf numFmtId="164" fontId="0" fillId="7" borderId="4" xfId="0" applyFont="false" applyBorder="true" applyAlignment="false" applyProtection="false">
      <alignment horizontal="general" vertical="bottom" textRotation="0" wrapText="false" indent="0" shrinkToFit="false"/>
      <protection locked="true" hidden="false"/>
    </xf>
    <xf numFmtId="164" fontId="17" fillId="7" borderId="4" xfId="0" applyFont="true" applyBorder="true" applyAlignment="false" applyProtection="false">
      <alignment horizontal="general" vertical="bottom" textRotation="0" wrapText="false" indent="0" shrinkToFit="false"/>
      <protection locked="true" hidden="false"/>
    </xf>
    <xf numFmtId="165" fontId="17" fillId="7" borderId="4" xfId="0" applyFont="true" applyBorder="true" applyAlignment="true" applyProtection="false">
      <alignment horizontal="right" vertical="bottom" textRotation="0" wrapText="false" indent="0" shrinkToFit="false"/>
      <protection locked="true" hidden="false"/>
    </xf>
    <xf numFmtId="164" fontId="20" fillId="7" borderId="4" xfId="0" applyFont="true" applyBorder="true" applyAlignment="false" applyProtection="false">
      <alignment horizontal="general" vertical="bottom" textRotation="0" wrapText="false" indent="0" shrinkToFit="false"/>
      <protection locked="true" hidden="false"/>
    </xf>
    <xf numFmtId="165" fontId="21" fillId="8" borderId="1" xfId="0" applyFont="true" applyBorder="true" applyAlignment="true" applyProtection="false">
      <alignment horizontal="right" vertical="bottom" textRotation="0" wrapText="false" indent="0" shrinkToFit="false"/>
      <protection locked="true" hidden="false"/>
    </xf>
    <xf numFmtId="166" fontId="21" fillId="8" borderId="1" xfId="0" applyFont="true" applyBorder="true" applyAlignment="true" applyProtection="false">
      <alignment horizontal="right" vertical="bottom" textRotation="0" wrapText="false" indent="0" shrinkToFit="false"/>
      <protection locked="true" hidden="false"/>
    </xf>
    <xf numFmtId="165" fontId="11" fillId="6" borderId="1" xfId="0" applyFont="true" applyBorder="true" applyAlignment="true" applyProtection="false">
      <alignment horizontal="right" vertical="bottom" textRotation="0" wrapText="false" indent="0" shrinkToFit="false"/>
      <protection locked="true" hidden="false"/>
    </xf>
    <xf numFmtId="164" fontId="18" fillId="3" borderId="1" xfId="0" applyFont="true" applyBorder="true" applyAlignment="true" applyProtection="false">
      <alignment horizontal="general" vertical="top" textRotation="0" wrapText="true" indent="0" shrinkToFit="false"/>
      <protection locked="true" hidden="false"/>
    </xf>
    <xf numFmtId="165" fontId="11" fillId="3" borderId="1" xfId="0" applyFont="true" applyBorder="true" applyAlignment="true" applyProtection="false">
      <alignment horizontal="right" vertical="bottom" textRotation="0" wrapText="false" indent="0" shrinkToFit="false"/>
      <protection locked="true" hidden="false"/>
    </xf>
    <xf numFmtId="165" fontId="11" fillId="2" borderId="1" xfId="0" applyFont="true" applyBorder="true" applyAlignment="true" applyProtection="false">
      <alignment horizontal="right" vertical="bottom" textRotation="0" wrapText="false" indent="0" shrinkToFit="false"/>
      <protection locked="true" hidden="false"/>
    </xf>
    <xf numFmtId="164" fontId="15" fillId="4" borderId="4" xfId="0" applyFont="true" applyBorder="true" applyAlignment="false" applyProtection="false">
      <alignment horizontal="general" vertical="bottom" textRotation="0" wrapText="false" indent="0" shrinkToFit="false"/>
      <protection locked="true" hidden="false"/>
    </xf>
    <xf numFmtId="164" fontId="0" fillId="4" borderId="4" xfId="0" applyFont="false" applyBorder="true" applyAlignment="false" applyProtection="false">
      <alignment horizontal="general" vertical="bottom" textRotation="0" wrapText="false" indent="0" shrinkToFit="false"/>
      <protection locked="true" hidden="false"/>
    </xf>
    <xf numFmtId="165" fontId="15" fillId="4" borderId="4" xfId="0" applyFont="true" applyBorder="true" applyAlignment="true" applyProtection="false">
      <alignment horizontal="right" vertical="bottom" textRotation="0" wrapText="false" indent="0" shrinkToFit="false"/>
      <protection locked="true" hidden="false"/>
    </xf>
    <xf numFmtId="166" fontId="15" fillId="3" borderId="1" xfId="0" applyFont="true" applyBorder="true" applyAlignment="true" applyProtection="false">
      <alignment horizontal="right" vertical="bottom" textRotation="0" wrapText="false" indent="0" shrinkToFit="false"/>
      <protection locked="true" hidden="false"/>
    </xf>
    <xf numFmtId="165" fontId="15" fillId="3" borderId="1" xfId="0" applyFont="true" applyBorder="true" applyAlignment="true" applyProtection="false">
      <alignment horizontal="right"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15" fillId="2" borderId="1" xfId="0" applyFont="true" applyBorder="true" applyAlignment="true" applyProtection="false">
      <alignment horizontal="right" vertical="bottom" textRotation="0" wrapText="false" indent="0" shrinkToFit="false"/>
      <protection locked="true" hidden="false"/>
    </xf>
    <xf numFmtId="164" fontId="15" fillId="7" borderId="4" xfId="0" applyFont="true" applyBorder="true" applyAlignment="false" applyProtection="false">
      <alignment horizontal="general" vertical="bottom" textRotation="0" wrapText="false" indent="0" shrinkToFit="false"/>
      <protection locked="true" hidden="false"/>
    </xf>
    <xf numFmtId="164" fontId="18" fillId="7" borderId="1" xfId="0" applyFont="true" applyBorder="true" applyAlignment="true" applyProtection="false">
      <alignment horizontal="general" vertical="top" textRotation="0" wrapText="true" indent="0" shrinkToFit="false"/>
      <protection locked="true" hidden="false"/>
    </xf>
    <xf numFmtId="165" fontId="17" fillId="7" borderId="1" xfId="0" applyFont="true" applyBorder="true" applyAlignment="true" applyProtection="false">
      <alignment horizontal="right" vertical="bottom" textRotation="0" wrapText="false" indent="0" shrinkToFit="false"/>
      <protection locked="true" hidden="false"/>
    </xf>
    <xf numFmtId="165" fontId="22" fillId="0" borderId="1" xfId="0" applyFont="true" applyBorder="true" applyAlignment="true" applyProtection="false">
      <alignment horizontal="right" vertical="bottom" textRotation="0" wrapText="false" indent="0" shrinkToFit="false"/>
      <protection locked="true" hidden="false"/>
    </xf>
    <xf numFmtId="164" fontId="17" fillId="6" borderId="4" xfId="0" applyFont="true" applyBorder="true" applyAlignment="false" applyProtection="false">
      <alignment horizontal="general" vertical="bottom" textRotation="0" wrapText="false" indent="0" shrinkToFit="false"/>
      <protection locked="true" hidden="false"/>
    </xf>
    <xf numFmtId="164" fontId="0" fillId="6" borderId="4" xfId="0" applyFont="false" applyBorder="true" applyAlignment="false" applyProtection="false">
      <alignment horizontal="general" vertical="bottom" textRotation="0" wrapText="false" indent="0" shrinkToFit="false"/>
      <protection locked="true" hidden="false"/>
    </xf>
    <xf numFmtId="165" fontId="17" fillId="6" borderId="4" xfId="0" applyFont="true" applyBorder="true" applyAlignment="true" applyProtection="false">
      <alignment horizontal="right" vertical="bottom" textRotation="0" wrapText="false" indent="0" shrinkToFit="false"/>
      <protection locked="true" hidden="false"/>
    </xf>
    <xf numFmtId="164" fontId="8" fillId="7" borderId="1" xfId="0" applyFont="true" applyBorder="true" applyAlignment="true" applyProtection="false">
      <alignment horizontal="general" vertical="top" textRotation="0" wrapText="true" indent="0" shrinkToFit="false"/>
      <protection locked="true" hidden="false"/>
    </xf>
    <xf numFmtId="164" fontId="9" fillId="7"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8">
    <dxf>
      <fill>
        <patternFill patternType="solid">
          <fgColor rgb="FF2E3234"/>
          <bgColor rgb="FF000000"/>
        </patternFill>
      </fill>
    </dxf>
    <dxf>
      <fill>
        <patternFill patternType="solid">
          <fgColor rgb="FFECEEDD"/>
          <bgColor rgb="FF000000"/>
        </patternFill>
      </fill>
    </dxf>
    <dxf>
      <fill>
        <patternFill patternType="solid">
          <fgColor rgb="FFF8EFD4"/>
          <bgColor rgb="FF000000"/>
        </patternFill>
      </fill>
    </dxf>
    <dxf>
      <fill>
        <patternFill patternType="solid">
          <bgColor rgb="FF000000"/>
        </patternFill>
      </fill>
    </dxf>
    <dxf>
      <fill>
        <patternFill patternType="solid">
          <fgColor rgb="FF1F261A"/>
          <bgColor rgb="FF000000"/>
        </patternFill>
      </fill>
    </dxf>
    <dxf>
      <fill>
        <patternFill patternType="solid">
          <fgColor rgb="FFFFFFFF"/>
          <bgColor rgb="FF000000"/>
        </patternFill>
      </fill>
    </dxf>
    <dxf>
      <fill>
        <patternFill patternType="solid">
          <fgColor rgb="FFEBEEDA"/>
          <bgColor rgb="FF000000"/>
        </patternFill>
      </fill>
    </dxf>
    <dxf>
      <fill>
        <patternFill patternType="solid">
          <fgColor rgb="FFF2E7DA"/>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6CFAA"/>
      <rgbColor rgb="FF808080"/>
      <rgbColor rgb="FF9999FF"/>
      <rgbColor rgb="FF993366"/>
      <rgbColor rgb="FFF8EFD4"/>
      <rgbColor rgb="FFECEEDD"/>
      <rgbColor rgb="FF660066"/>
      <rgbColor rgb="FFFF8080"/>
      <rgbColor rgb="FF0066CC"/>
      <rgbColor rgb="FFDDE3C9"/>
      <rgbColor rgb="FF000080"/>
      <rgbColor rgb="FFFF00FF"/>
      <rgbColor rgb="FFFFFF00"/>
      <rgbColor rgb="FF00FFFF"/>
      <rgbColor rgb="FF800080"/>
      <rgbColor rgb="FF800000"/>
      <rgbColor rgb="FF008080"/>
      <rgbColor rgb="FF0000FF"/>
      <rgbColor rgb="FF00CCFF"/>
      <rgbColor rgb="FFEBEEDA"/>
      <rgbColor rgb="FFEDF3DA"/>
      <rgbColor rgb="FFF2E7DA"/>
      <rgbColor rgb="FF99CCFF"/>
      <rgbColor rgb="FFFF99CC"/>
      <rgbColor rgb="FFCC99FF"/>
      <rgbColor rgb="FFFFCC99"/>
      <rgbColor rgb="FF3366FF"/>
      <rgbColor rgb="FF33CCCC"/>
      <rgbColor rgb="FF99CC00"/>
      <rgbColor rgb="FFFFCC00"/>
      <rgbColor rgb="FFFF9900"/>
      <rgbColor rgb="FFFF6600"/>
      <rgbColor rgb="FF68705F"/>
      <rgbColor rgb="FF969696"/>
      <rgbColor rgb="FF003366"/>
      <rgbColor rgb="FF339966"/>
      <rgbColor rgb="FF003300"/>
      <rgbColor rgb="FF1F261A"/>
      <rgbColor rgb="FF993300"/>
      <rgbColor rgb="FF993366"/>
      <rgbColor rgb="FF333399"/>
      <rgbColor rgb="FF2E323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6.xml.rels><?xml version="1.0" encoding="UTF-8"?>
<Relationships xmlns="http://schemas.openxmlformats.org/package/2006/relationships"><Relationship Id="rId1" Type="http://schemas.openxmlformats.org/officeDocument/2006/relationships/drawing" Target="../drawings/drawing2.xm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6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30"/>
    <col collapsed="false" customWidth="true" hidden="false" outlineLevel="0" max="4" min="3" style="0" width="26"/>
    <col collapsed="false" customWidth="true" hidden="false" outlineLevel="0" max="5" min="5" style="0" width="22"/>
    <col collapsed="false" customWidth="true" hidden="false" outlineLevel="0" max="6" min="6" style="0" width="20"/>
    <col collapsed="false" customWidth="true" hidden="false" outlineLevel="0" max="8" min="7" style="0" width="18"/>
  </cols>
  <sheetData>
    <row r="2" customFormat="false" ht="24" hidden="false" customHeight="true" outlineLevel="0" collapsed="false">
      <c r="A2" s="1" t="s">
        <v>0</v>
      </c>
      <c r="B2" s="1"/>
      <c r="C2" s="1"/>
      <c r="D2" s="1"/>
      <c r="E2" s="1"/>
      <c r="F2" s="1"/>
      <c r="G2" s="1"/>
      <c r="H2" s="1"/>
    </row>
    <row r="3" customFormat="false" ht="15" hidden="false" customHeight="false" outlineLevel="0" collapsed="false">
      <c r="A3" s="2" t="s">
        <v>1</v>
      </c>
    </row>
    <row r="5" customFormat="false" ht="15" hidden="false" customHeight="false" outlineLevel="0" collapsed="false">
      <c r="A5" s="3" t="s">
        <v>2</v>
      </c>
      <c r="B5" s="3"/>
      <c r="C5" s="3"/>
      <c r="D5" s="3"/>
      <c r="E5" s="3"/>
      <c r="F5" s="3"/>
      <c r="G5" s="3"/>
      <c r="H5" s="3"/>
    </row>
    <row r="6" customFormat="false" ht="15" hidden="false" customHeight="true" outlineLevel="0" collapsed="false">
      <c r="A6" s="4" t="s">
        <v>3</v>
      </c>
      <c r="B6" s="5" t="s">
        <v>4</v>
      </c>
      <c r="C6" s="5"/>
      <c r="D6" s="5"/>
      <c r="E6" s="5"/>
      <c r="F6" s="5"/>
      <c r="G6" s="5"/>
      <c r="H6" s="5"/>
    </row>
    <row r="7" customFormat="false" ht="15" hidden="false" customHeight="true" outlineLevel="0" collapsed="false">
      <c r="A7" s="4" t="s">
        <v>5</v>
      </c>
      <c r="B7" s="5" t="s">
        <v>6</v>
      </c>
      <c r="C7" s="5"/>
      <c r="D7" s="5"/>
      <c r="E7" s="5"/>
      <c r="F7" s="5"/>
      <c r="G7" s="5"/>
      <c r="H7" s="5"/>
    </row>
    <row r="8" customFormat="false" ht="15" hidden="false" customHeight="true" outlineLevel="0" collapsed="false">
      <c r="A8" s="4" t="s">
        <v>7</v>
      </c>
      <c r="B8" s="5" t="s">
        <v>8</v>
      </c>
      <c r="C8" s="5"/>
      <c r="D8" s="5"/>
      <c r="E8" s="5"/>
      <c r="F8" s="5"/>
      <c r="G8" s="5"/>
      <c r="H8" s="5"/>
    </row>
    <row r="9" customFormat="false" ht="15" hidden="false" customHeight="true" outlineLevel="0" collapsed="false">
      <c r="A9" s="4" t="s">
        <v>9</v>
      </c>
      <c r="B9" s="5" t="s">
        <v>10</v>
      </c>
      <c r="C9" s="5"/>
      <c r="D9" s="5"/>
      <c r="E9" s="5"/>
      <c r="F9" s="5"/>
      <c r="G9" s="5"/>
      <c r="H9" s="5"/>
    </row>
    <row r="10" customFormat="false" ht="15" hidden="false" customHeight="true" outlineLevel="0" collapsed="false">
      <c r="A10" s="4" t="s">
        <v>11</v>
      </c>
      <c r="B10" s="5" t="s">
        <v>12</v>
      </c>
      <c r="C10" s="5"/>
      <c r="D10" s="5"/>
      <c r="E10" s="5"/>
      <c r="F10" s="5"/>
      <c r="G10" s="5"/>
      <c r="H10" s="5"/>
    </row>
    <row r="11" customFormat="false" ht="15" hidden="false" customHeight="true" outlineLevel="0" collapsed="false">
      <c r="A11" s="4" t="s">
        <v>13</v>
      </c>
      <c r="B11" s="5" t="s">
        <v>14</v>
      </c>
      <c r="C11" s="5"/>
      <c r="D11" s="5"/>
      <c r="E11" s="5"/>
      <c r="F11" s="5"/>
      <c r="G11" s="5"/>
      <c r="H11" s="5"/>
    </row>
    <row r="12" customFormat="false" ht="15" hidden="false" customHeight="true" outlineLevel="0" collapsed="false">
      <c r="A12" s="4" t="s">
        <v>15</v>
      </c>
      <c r="B12" s="5" t="s">
        <v>16</v>
      </c>
      <c r="C12" s="5"/>
      <c r="D12" s="5"/>
      <c r="E12" s="5"/>
      <c r="F12" s="5"/>
      <c r="G12" s="5"/>
      <c r="H12" s="5"/>
    </row>
    <row r="13" customFormat="false" ht="15" hidden="false" customHeight="true" outlineLevel="0" collapsed="false">
      <c r="A13" s="4" t="s">
        <v>17</v>
      </c>
      <c r="B13" s="5" t="s">
        <v>18</v>
      </c>
      <c r="C13" s="5"/>
      <c r="D13" s="5"/>
      <c r="E13" s="5"/>
      <c r="F13" s="5"/>
      <c r="G13" s="5"/>
      <c r="H13" s="5"/>
    </row>
    <row r="14" customFormat="false" ht="15" hidden="false" customHeight="true" outlineLevel="0" collapsed="false">
      <c r="A14" s="4" t="s">
        <v>19</v>
      </c>
      <c r="B14" s="5" t="s">
        <v>20</v>
      </c>
      <c r="C14" s="5"/>
      <c r="D14" s="5"/>
      <c r="E14" s="5"/>
      <c r="F14" s="5"/>
      <c r="G14" s="5"/>
      <c r="H14" s="5"/>
    </row>
    <row r="15" customFormat="false" ht="15" hidden="false" customHeight="true" outlineLevel="0" collapsed="false">
      <c r="A15" s="4" t="s">
        <v>21</v>
      </c>
      <c r="B15" s="5" t="s">
        <v>22</v>
      </c>
      <c r="C15" s="5"/>
      <c r="D15" s="5"/>
      <c r="E15" s="5"/>
      <c r="F15" s="5"/>
      <c r="G15" s="5"/>
      <c r="H15" s="5"/>
    </row>
    <row r="16" customFormat="false" ht="15" hidden="false" customHeight="true" outlineLevel="0" collapsed="false">
      <c r="A16" s="4" t="s">
        <v>23</v>
      </c>
      <c r="B16" s="5" t="s">
        <v>24</v>
      </c>
      <c r="C16" s="5"/>
      <c r="D16" s="5"/>
      <c r="E16" s="5"/>
      <c r="F16" s="5"/>
      <c r="G16" s="5"/>
      <c r="H16" s="5"/>
    </row>
    <row r="17" customFormat="false" ht="15" hidden="false" customHeight="true" outlineLevel="0" collapsed="false">
      <c r="A17" s="4" t="s">
        <v>25</v>
      </c>
      <c r="B17" s="5" t="s">
        <v>26</v>
      </c>
      <c r="C17" s="5"/>
      <c r="D17" s="5"/>
      <c r="E17" s="5"/>
      <c r="F17" s="5"/>
      <c r="G17" s="5"/>
      <c r="H17" s="5"/>
    </row>
    <row r="19" customFormat="false" ht="15" hidden="false" customHeight="false" outlineLevel="0" collapsed="false">
      <c r="A19" s="3" t="s">
        <v>27</v>
      </c>
      <c r="B19" s="3"/>
      <c r="C19" s="3"/>
      <c r="D19" s="3"/>
      <c r="E19" s="3"/>
      <c r="F19" s="3"/>
      <c r="G19" s="3"/>
      <c r="H19" s="3"/>
    </row>
    <row r="20" customFormat="false" ht="39" hidden="false" customHeight="true" outlineLevel="0" collapsed="false">
      <c r="A20" s="6" t="s">
        <v>28</v>
      </c>
      <c r="B20" s="6"/>
      <c r="C20" s="6"/>
      <c r="D20" s="6"/>
      <c r="E20" s="6"/>
      <c r="F20" s="6"/>
      <c r="G20" s="6"/>
      <c r="H20" s="6"/>
    </row>
    <row r="22" customFormat="false" ht="15" hidden="false" customHeight="false" outlineLevel="0" collapsed="false">
      <c r="A22" s="3" t="s">
        <v>29</v>
      </c>
      <c r="B22" s="3"/>
      <c r="C22" s="3"/>
      <c r="D22" s="3"/>
      <c r="E22" s="3"/>
      <c r="F22" s="3"/>
      <c r="G22" s="3"/>
      <c r="H22" s="3"/>
    </row>
    <row r="23" customFormat="false" ht="64.5" hidden="false" customHeight="true" outlineLevel="0" collapsed="false">
      <c r="A23" s="7" t="s">
        <v>30</v>
      </c>
      <c r="B23" s="7"/>
      <c r="C23" s="7"/>
      <c r="D23" s="7"/>
      <c r="E23" s="7"/>
      <c r="F23" s="7"/>
      <c r="G23" s="7"/>
      <c r="H23" s="7"/>
    </row>
    <row r="25" customFormat="false" ht="25.5" hidden="false" customHeight="true" outlineLevel="0" collapsed="false">
      <c r="A25" s="8" t="s">
        <v>31</v>
      </c>
      <c r="B25" s="8"/>
      <c r="C25" s="8"/>
      <c r="D25" s="8"/>
      <c r="E25" s="8"/>
      <c r="F25" s="8"/>
      <c r="G25" s="8"/>
      <c r="H25" s="8"/>
    </row>
    <row r="27" customFormat="false" ht="15" hidden="false" customHeight="false" outlineLevel="0" collapsed="false">
      <c r="A27" s="3" t="s">
        <v>32</v>
      </c>
      <c r="B27" s="3"/>
      <c r="C27" s="3"/>
      <c r="D27" s="3"/>
      <c r="E27" s="3"/>
      <c r="F27" s="3"/>
      <c r="G27" s="3"/>
      <c r="H27" s="3"/>
    </row>
    <row r="28" customFormat="false" ht="30" hidden="false" customHeight="true" outlineLevel="0" collapsed="false">
      <c r="A28" s="9" t="s">
        <v>33</v>
      </c>
      <c r="B28" s="9" t="s">
        <v>34</v>
      </c>
      <c r="C28" s="9" t="s">
        <v>35</v>
      </c>
      <c r="D28" s="9"/>
      <c r="E28" s="9"/>
      <c r="F28" s="9"/>
      <c r="G28" s="9"/>
      <c r="H28" s="9"/>
    </row>
    <row r="29" customFormat="false" ht="23.85" hidden="false" customHeight="true" outlineLevel="0" collapsed="false">
      <c r="A29" s="10" t="s">
        <v>36</v>
      </c>
      <c r="B29" s="10" t="s">
        <v>37</v>
      </c>
      <c r="C29" s="10" t="s">
        <v>38</v>
      </c>
      <c r="D29" s="10"/>
      <c r="E29" s="10"/>
      <c r="F29" s="10"/>
      <c r="G29" s="10"/>
      <c r="H29" s="10"/>
    </row>
    <row r="30" customFormat="false" ht="23.85" hidden="false" customHeight="true" outlineLevel="0" collapsed="false">
      <c r="A30" s="10" t="s">
        <v>39</v>
      </c>
      <c r="B30" s="10" t="s">
        <v>40</v>
      </c>
      <c r="C30" s="10" t="s">
        <v>41</v>
      </c>
      <c r="D30" s="10"/>
      <c r="E30" s="10"/>
      <c r="F30" s="10"/>
      <c r="G30" s="10"/>
      <c r="H30" s="10"/>
    </row>
    <row r="31" customFormat="false" ht="23.85" hidden="false" customHeight="true" outlineLevel="0" collapsed="false">
      <c r="A31" s="10" t="s">
        <v>42</v>
      </c>
      <c r="B31" s="10" t="s">
        <v>43</v>
      </c>
      <c r="C31" s="10" t="s">
        <v>44</v>
      </c>
      <c r="D31" s="10"/>
      <c r="E31" s="10"/>
      <c r="F31" s="10"/>
      <c r="G31" s="10"/>
      <c r="H31" s="10"/>
    </row>
    <row r="32" customFormat="false" ht="23.85" hidden="false" customHeight="true" outlineLevel="0" collapsed="false">
      <c r="A32" s="10" t="s">
        <v>45</v>
      </c>
      <c r="B32" s="10" t="s">
        <v>46</v>
      </c>
      <c r="C32" s="10" t="s">
        <v>47</v>
      </c>
      <c r="D32" s="10"/>
      <c r="E32" s="10"/>
      <c r="F32" s="10"/>
      <c r="G32" s="10"/>
      <c r="H32" s="10"/>
    </row>
    <row r="33" customFormat="false" ht="23.85" hidden="false" customHeight="true" outlineLevel="0" collapsed="false">
      <c r="A33" s="10" t="s">
        <v>48</v>
      </c>
      <c r="B33" s="10" t="s">
        <v>49</v>
      </c>
      <c r="C33" s="10" t="s">
        <v>50</v>
      </c>
      <c r="D33" s="10"/>
      <c r="E33" s="10"/>
      <c r="F33" s="10"/>
      <c r="G33" s="10"/>
      <c r="H33" s="10"/>
    </row>
    <row r="35" customFormat="false" ht="15" hidden="false" customHeight="false" outlineLevel="0" collapsed="false">
      <c r="A35" s="3" t="s">
        <v>51</v>
      </c>
      <c r="B35" s="3"/>
      <c r="C35" s="3"/>
      <c r="D35" s="3"/>
      <c r="E35" s="3"/>
      <c r="F35" s="3"/>
      <c r="G35" s="3"/>
      <c r="H35" s="3"/>
    </row>
    <row r="36" customFormat="false" ht="30" hidden="false" customHeight="true" outlineLevel="0" collapsed="false">
      <c r="A36" s="9" t="s">
        <v>52</v>
      </c>
      <c r="B36" s="9" t="s">
        <v>53</v>
      </c>
      <c r="C36" s="9" t="s">
        <v>54</v>
      </c>
      <c r="D36" s="9"/>
      <c r="E36" s="9"/>
      <c r="F36" s="9"/>
      <c r="G36" s="9"/>
      <c r="H36" s="9"/>
    </row>
    <row r="37" customFormat="false" ht="35.05" hidden="false" customHeight="false" outlineLevel="0" collapsed="false">
      <c r="A37" s="10" t="s">
        <v>55</v>
      </c>
      <c r="B37" s="10" t="s">
        <v>56</v>
      </c>
      <c r="C37" s="10" t="s">
        <v>57</v>
      </c>
    </row>
    <row r="38" customFormat="false" ht="35.05" hidden="false" customHeight="false" outlineLevel="0" collapsed="false">
      <c r="A38" s="10" t="s">
        <v>58</v>
      </c>
      <c r="B38" s="10" t="s">
        <v>59</v>
      </c>
      <c r="C38" s="10" t="s">
        <v>57</v>
      </c>
    </row>
    <row r="39" customFormat="false" ht="23.85" hidden="false" customHeight="false" outlineLevel="0" collapsed="false">
      <c r="A39" s="10" t="s">
        <v>60</v>
      </c>
      <c r="B39" s="10" t="s">
        <v>61</v>
      </c>
      <c r="C39" s="10" t="s">
        <v>62</v>
      </c>
    </row>
    <row r="40" customFormat="false" ht="35.05" hidden="false" customHeight="false" outlineLevel="0" collapsed="false">
      <c r="A40" s="10" t="s">
        <v>63</v>
      </c>
      <c r="B40" s="10" t="s">
        <v>64</v>
      </c>
      <c r="C40" s="10" t="s">
        <v>62</v>
      </c>
    </row>
    <row r="41" customFormat="false" ht="46.25" hidden="false" customHeight="false" outlineLevel="0" collapsed="false">
      <c r="A41" s="10" t="s">
        <v>65</v>
      </c>
      <c r="B41" s="10" t="s">
        <v>66</v>
      </c>
      <c r="C41" s="10" t="s">
        <v>67</v>
      </c>
    </row>
    <row r="42" customFormat="false" ht="35.05" hidden="false" customHeight="false" outlineLevel="0" collapsed="false">
      <c r="A42" s="10" t="s">
        <v>68</v>
      </c>
      <c r="B42" s="10" t="s">
        <v>69</v>
      </c>
      <c r="C42" s="10" t="s">
        <v>70</v>
      </c>
    </row>
    <row r="43" customFormat="false" ht="35.05" hidden="false" customHeight="false" outlineLevel="0" collapsed="false">
      <c r="A43" s="10" t="s">
        <v>71</v>
      </c>
      <c r="B43" s="10" t="s">
        <v>72</v>
      </c>
      <c r="C43" s="10" t="s">
        <v>62</v>
      </c>
    </row>
    <row r="44" customFormat="false" ht="35.05" hidden="false" customHeight="false" outlineLevel="0" collapsed="false">
      <c r="A44" s="10" t="s">
        <v>73</v>
      </c>
      <c r="B44" s="10" t="s">
        <v>74</v>
      </c>
      <c r="C44" s="10" t="s">
        <v>75</v>
      </c>
    </row>
    <row r="45" customFormat="false" ht="35.05" hidden="false" customHeight="false" outlineLevel="0" collapsed="false">
      <c r="A45" s="10" t="s">
        <v>76</v>
      </c>
      <c r="B45" s="10" t="s">
        <v>77</v>
      </c>
      <c r="C45" s="10" t="s">
        <v>78</v>
      </c>
    </row>
    <row r="46" customFormat="false" ht="35.05" hidden="false" customHeight="false" outlineLevel="0" collapsed="false">
      <c r="A46" s="10" t="s">
        <v>79</v>
      </c>
      <c r="B46" s="10" t="s">
        <v>80</v>
      </c>
      <c r="C46" s="10" t="s">
        <v>81</v>
      </c>
    </row>
    <row r="47" customFormat="false" ht="35.05" hidden="false" customHeight="false" outlineLevel="0" collapsed="false">
      <c r="A47" s="10" t="s">
        <v>82</v>
      </c>
      <c r="B47" s="10" t="s">
        <v>83</v>
      </c>
      <c r="C47" s="10" t="s">
        <v>84</v>
      </c>
    </row>
    <row r="48" customFormat="false" ht="23.85" hidden="false" customHeight="false" outlineLevel="0" collapsed="false">
      <c r="A48" s="10" t="s">
        <v>85</v>
      </c>
      <c r="B48" s="10" t="s">
        <v>86</v>
      </c>
      <c r="C48" s="10" t="s">
        <v>87</v>
      </c>
    </row>
    <row r="49" customFormat="false" ht="23.85" hidden="false" customHeight="false" outlineLevel="0" collapsed="false">
      <c r="A49" s="10" t="s">
        <v>88</v>
      </c>
      <c r="B49" s="10" t="s">
        <v>89</v>
      </c>
      <c r="C49" s="10" t="s">
        <v>81</v>
      </c>
    </row>
    <row r="50" customFormat="false" ht="23.85" hidden="false" customHeight="false" outlineLevel="0" collapsed="false">
      <c r="A50" s="10" t="s">
        <v>90</v>
      </c>
      <c r="B50" s="10" t="s">
        <v>91</v>
      </c>
      <c r="C50" s="10" t="s">
        <v>57</v>
      </c>
    </row>
    <row r="51" customFormat="false" ht="23.85" hidden="false" customHeight="false" outlineLevel="0" collapsed="false">
      <c r="A51" s="10" t="s">
        <v>92</v>
      </c>
      <c r="B51" s="10" t="s">
        <v>93</v>
      </c>
      <c r="C51" s="10" t="s">
        <v>94</v>
      </c>
    </row>
    <row r="52" customFormat="false" ht="23.85" hidden="false" customHeight="false" outlineLevel="0" collapsed="false">
      <c r="A52" s="10" t="s">
        <v>95</v>
      </c>
      <c r="B52" s="10" t="s">
        <v>96</v>
      </c>
      <c r="C52" s="10" t="s">
        <v>57</v>
      </c>
    </row>
    <row r="53" customFormat="false" ht="35.05" hidden="false" customHeight="false" outlineLevel="0" collapsed="false">
      <c r="A53" s="10" t="s">
        <v>97</v>
      </c>
      <c r="B53" s="10" t="s">
        <v>98</v>
      </c>
      <c r="C53" s="10" t="s">
        <v>99</v>
      </c>
    </row>
    <row r="55" customFormat="false" ht="15" hidden="false" customHeight="false" outlineLevel="0" collapsed="false">
      <c r="A55" s="3" t="s">
        <v>100</v>
      </c>
      <c r="B55" s="3"/>
      <c r="C55" s="3"/>
      <c r="D55" s="3"/>
      <c r="E55" s="3"/>
      <c r="F55" s="3"/>
      <c r="G55" s="3"/>
      <c r="H55" s="3"/>
    </row>
    <row r="56" customFormat="false" ht="15" hidden="false" customHeight="false" outlineLevel="0" collapsed="false">
      <c r="A56" s="11" t="s">
        <v>101</v>
      </c>
      <c r="B56" s="11"/>
      <c r="C56" s="11"/>
      <c r="D56" s="11"/>
      <c r="E56" s="11"/>
      <c r="F56" s="11"/>
      <c r="G56" s="11"/>
      <c r="H56" s="11"/>
    </row>
    <row r="57" customFormat="false" ht="15" hidden="false" customHeight="false" outlineLevel="0" collapsed="false">
      <c r="A57" s="11" t="s">
        <v>102</v>
      </c>
      <c r="B57" s="11"/>
      <c r="C57" s="11"/>
      <c r="D57" s="11"/>
      <c r="E57" s="11"/>
      <c r="F57" s="11"/>
      <c r="G57" s="11"/>
      <c r="H57" s="11"/>
    </row>
    <row r="58" customFormat="false" ht="15" hidden="false" customHeight="false" outlineLevel="0" collapsed="false">
      <c r="A58" s="12" t="s">
        <v>103</v>
      </c>
      <c r="B58" s="12"/>
      <c r="C58" s="12"/>
      <c r="D58" s="12"/>
      <c r="E58" s="12"/>
      <c r="F58" s="12"/>
      <c r="G58" s="12"/>
      <c r="H58" s="12"/>
    </row>
    <row r="59" customFormat="false" ht="15" hidden="false" customHeight="false" outlineLevel="0" collapsed="false">
      <c r="A59" s="13" t="s">
        <v>104</v>
      </c>
      <c r="B59" s="13"/>
      <c r="C59" s="13"/>
      <c r="D59" s="13"/>
      <c r="E59" s="13"/>
      <c r="F59" s="13"/>
      <c r="G59" s="13"/>
      <c r="H59" s="13"/>
    </row>
    <row r="60" customFormat="false" ht="15" hidden="false" customHeight="false" outlineLevel="0" collapsed="false">
      <c r="A60" s="14" t="s">
        <v>105</v>
      </c>
      <c r="B60" s="14"/>
      <c r="C60" s="14"/>
      <c r="D60" s="14"/>
      <c r="E60" s="14"/>
      <c r="F60" s="14"/>
      <c r="G60" s="14"/>
      <c r="H60" s="14"/>
    </row>
  </sheetData>
  <mergeCells count="32">
    <mergeCell ref="A2:H2"/>
    <mergeCell ref="A5:H5"/>
    <mergeCell ref="B6:H6"/>
    <mergeCell ref="B7:H7"/>
    <mergeCell ref="B8:H8"/>
    <mergeCell ref="B9:H9"/>
    <mergeCell ref="B10:H10"/>
    <mergeCell ref="B11:H11"/>
    <mergeCell ref="B12:H12"/>
    <mergeCell ref="B13:H13"/>
    <mergeCell ref="B14:H14"/>
    <mergeCell ref="B15:H15"/>
    <mergeCell ref="B16:H16"/>
    <mergeCell ref="B17:H17"/>
    <mergeCell ref="A19:H19"/>
    <mergeCell ref="A20:H20"/>
    <mergeCell ref="A22:H22"/>
    <mergeCell ref="A23:H23"/>
    <mergeCell ref="A25:H25"/>
    <mergeCell ref="A27:H27"/>
    <mergeCell ref="C29:H29"/>
    <mergeCell ref="C30:H30"/>
    <mergeCell ref="C31:H31"/>
    <mergeCell ref="C32:H32"/>
    <mergeCell ref="C33:H33"/>
    <mergeCell ref="A35:H35"/>
    <mergeCell ref="A55:H55"/>
    <mergeCell ref="A56:H56"/>
    <mergeCell ref="A57:H57"/>
    <mergeCell ref="A58:H58"/>
    <mergeCell ref="A59:H59"/>
    <mergeCell ref="A60:H6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E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52"/>
    <col collapsed="false" customWidth="true" hidden="false" outlineLevel="0" max="3" min="3" style="0" width="20"/>
    <col collapsed="false" customWidth="true" hidden="false" outlineLevel="0" max="4" min="4" style="0" width="66"/>
    <col collapsed="false" customWidth="true" hidden="false" outlineLevel="0" max="5" min="5" style="0" width="6"/>
  </cols>
  <sheetData>
    <row r="2" customFormat="false" ht="24" hidden="false" customHeight="true" outlineLevel="0" collapsed="false">
      <c r="A2" s="1" t="s">
        <v>602</v>
      </c>
      <c r="B2" s="1"/>
      <c r="C2" s="1"/>
      <c r="D2" s="1"/>
      <c r="E2" s="1"/>
    </row>
    <row r="3" customFormat="false" ht="51.75" hidden="false" customHeight="true" outlineLevel="0" collapsed="false">
      <c r="A3" s="36" t="s">
        <v>603</v>
      </c>
      <c r="B3" s="36"/>
      <c r="C3" s="36"/>
      <c r="D3" s="36"/>
      <c r="E3" s="36"/>
    </row>
    <row r="5" customFormat="false" ht="15" hidden="false" customHeight="false" outlineLevel="0" collapsed="false">
      <c r="A5" s="3" t="s">
        <v>604</v>
      </c>
      <c r="B5" s="3"/>
      <c r="C5" s="3"/>
      <c r="D5" s="3"/>
      <c r="E5" s="3"/>
    </row>
    <row r="6" customFormat="false" ht="30" hidden="false" customHeight="true" outlineLevel="0" collapsed="false">
      <c r="A6" s="9" t="s">
        <v>605</v>
      </c>
      <c r="B6" s="9" t="s">
        <v>606</v>
      </c>
      <c r="C6" s="9" t="s">
        <v>607</v>
      </c>
      <c r="D6" s="9" t="s">
        <v>608</v>
      </c>
      <c r="E6" s="9" t="s">
        <v>507</v>
      </c>
    </row>
    <row r="7" customFormat="false" ht="79.85" hidden="false" customHeight="false" outlineLevel="0" collapsed="false">
      <c r="A7" s="10" t="s">
        <v>609</v>
      </c>
      <c r="B7" s="17" t="n">
        <v>52063.9</v>
      </c>
      <c r="C7" s="57" t="n">
        <v>1</v>
      </c>
      <c r="D7" s="26" t="n">
        <f aca="false">B7*C7</f>
        <v>52063.9</v>
      </c>
      <c r="E7" s="10" t="s">
        <v>610</v>
      </c>
    </row>
    <row r="8" customFormat="false" ht="169.4" hidden="false" customHeight="false" outlineLevel="0" collapsed="false">
      <c r="A8" s="10" t="s">
        <v>611</v>
      </c>
      <c r="B8" s="17" t="n">
        <v>4865154.75</v>
      </c>
      <c r="C8" s="57" t="n">
        <v>0.7</v>
      </c>
      <c r="D8" s="26" t="n">
        <f aca="false">B8*C8</f>
        <v>3405608.325</v>
      </c>
      <c r="E8" s="10" t="s">
        <v>612</v>
      </c>
    </row>
    <row r="9" customFormat="false" ht="169.4" hidden="false" customHeight="false" outlineLevel="0" collapsed="false">
      <c r="A9" s="10" t="s">
        <v>613</v>
      </c>
      <c r="B9" s="17" t="n">
        <v>5411000</v>
      </c>
      <c r="C9" s="57" t="n">
        <v>0.7</v>
      </c>
      <c r="D9" s="26" t="n">
        <f aca="false">B9*C9</f>
        <v>3787700</v>
      </c>
      <c r="E9" s="10" t="s">
        <v>612</v>
      </c>
    </row>
    <row r="10" customFormat="false" ht="15" hidden="false" customHeight="false" outlineLevel="0" collapsed="false">
      <c r="A10" s="45" t="s">
        <v>614</v>
      </c>
      <c r="B10" s="46" t="n">
        <f aca="false">SUM(B7:B9)</f>
        <v>10328218.65</v>
      </c>
      <c r="C10" s="44"/>
      <c r="D10" s="46" t="n">
        <f aca="false">SUM(D7:D9)</f>
        <v>7245372.225</v>
      </c>
      <c r="E10" s="44"/>
    </row>
    <row r="12" customFormat="false" ht="15" hidden="false" customHeight="false" outlineLevel="0" collapsed="false">
      <c r="A12" s="3" t="s">
        <v>615</v>
      </c>
      <c r="B12" s="3"/>
      <c r="C12" s="3"/>
      <c r="D12" s="3"/>
      <c r="E12" s="3"/>
    </row>
    <row r="13" customFormat="false" ht="30" hidden="false" customHeight="true" outlineLevel="0" collapsed="false">
      <c r="A13" s="9" t="s">
        <v>616</v>
      </c>
      <c r="B13" s="9" t="s">
        <v>349</v>
      </c>
      <c r="C13" s="9" t="s">
        <v>351</v>
      </c>
      <c r="D13" s="9" t="s">
        <v>595</v>
      </c>
      <c r="E13" s="9"/>
    </row>
    <row r="14" customFormat="false" ht="15" hidden="false" customHeight="false" outlineLevel="0" collapsed="false">
      <c r="A14" s="10" t="s">
        <v>434</v>
      </c>
      <c r="B14" s="10" t="s">
        <v>617</v>
      </c>
      <c r="C14" s="26" t="n">
        <f aca="false">B10</f>
        <v>10328218.65</v>
      </c>
      <c r="D14" s="10" t="s">
        <v>618</v>
      </c>
      <c r="E14" s="10"/>
    </row>
    <row r="15" customFormat="false" ht="15" hidden="false" customHeight="false" outlineLevel="0" collapsed="false">
      <c r="A15" s="10" t="s">
        <v>438</v>
      </c>
      <c r="B15" s="10" t="s">
        <v>619</v>
      </c>
      <c r="C15" s="26" t="n">
        <f aca="false">D10</f>
        <v>7245372.225</v>
      </c>
      <c r="D15" s="10" t="s">
        <v>620</v>
      </c>
      <c r="E15" s="10"/>
    </row>
    <row r="16" customFormat="false" ht="15" hidden="false" customHeight="false" outlineLevel="0" collapsed="false">
      <c r="A16" s="10" t="s">
        <v>442</v>
      </c>
      <c r="B16" s="10" t="s">
        <v>621</v>
      </c>
      <c r="C16" s="26" t="n">
        <f aca="false">C14-C15</f>
        <v>3082846.425</v>
      </c>
      <c r="D16" s="10" t="s">
        <v>622</v>
      </c>
      <c r="E16" s="10"/>
    </row>
    <row r="17" customFormat="false" ht="15" hidden="false" customHeight="false" outlineLevel="0" collapsed="false">
      <c r="A17" s="10" t="s">
        <v>446</v>
      </c>
      <c r="B17" s="10" t="s">
        <v>623</v>
      </c>
      <c r="C17" s="26" t="n">
        <f aca="false">03_Bilanz!E34</f>
        <v>99713.65</v>
      </c>
      <c r="D17" s="10" t="s">
        <v>624</v>
      </c>
      <c r="E17" s="10"/>
    </row>
    <row r="18" customFormat="false" ht="15" hidden="false" customHeight="false" outlineLevel="0" collapsed="false">
      <c r="A18" s="10" t="s">
        <v>450</v>
      </c>
      <c r="B18" s="10" t="s">
        <v>625</v>
      </c>
      <c r="C18" s="26" t="n">
        <f aca="false">MAX(0,C16-C17)</f>
        <v>2983132.775</v>
      </c>
      <c r="D18" s="10" t="s">
        <v>626</v>
      </c>
      <c r="E18" s="10"/>
    </row>
    <row r="19" customFormat="false" ht="15" hidden="false" customHeight="false" outlineLevel="0" collapsed="false">
      <c r="A19" s="10" t="s">
        <v>454</v>
      </c>
      <c r="B19" s="10" t="s">
        <v>627</v>
      </c>
      <c r="C19" s="26" t="n">
        <f aca="false">03_Bilanz!E29</f>
        <v>5366000</v>
      </c>
      <c r="D19" s="10" t="s">
        <v>628</v>
      </c>
      <c r="E19" s="10"/>
    </row>
    <row r="20" customFormat="false" ht="15" hidden="false" customHeight="false" outlineLevel="0" collapsed="false">
      <c r="A20" s="58"/>
      <c r="B20" s="59" t="s">
        <v>629</v>
      </c>
      <c r="C20" s="60" t="n">
        <f aca="false">MIN(C18,C19)</f>
        <v>2983132.775</v>
      </c>
      <c r="D20" s="61" t="s">
        <v>630</v>
      </c>
      <c r="E20" s="58"/>
    </row>
    <row r="22" customFormat="false" ht="15" hidden="false" customHeight="false" outlineLevel="0" collapsed="false">
      <c r="A22" s="3" t="s">
        <v>631</v>
      </c>
      <c r="B22" s="3"/>
      <c r="C22" s="3"/>
      <c r="D22" s="3"/>
      <c r="E22" s="3"/>
    </row>
    <row r="23" customFormat="false" ht="27.75" hidden="false" customHeight="true" outlineLevel="0" collapsed="false">
      <c r="A23" s="5" t="s">
        <v>632</v>
      </c>
      <c r="B23" s="5"/>
      <c r="C23" s="5"/>
      <c r="D23" s="5"/>
      <c r="E23" s="5"/>
    </row>
    <row r="24" customFormat="false" ht="27.75" hidden="false" customHeight="true" outlineLevel="0" collapsed="false">
      <c r="A24" s="5" t="s">
        <v>633</v>
      </c>
      <c r="B24" s="5"/>
      <c r="C24" s="5"/>
      <c r="D24" s="5"/>
      <c r="E24" s="5"/>
    </row>
    <row r="25" customFormat="false" ht="27.75" hidden="false" customHeight="true" outlineLevel="0" collapsed="false">
      <c r="A25" s="5" t="s">
        <v>634</v>
      </c>
      <c r="B25" s="5"/>
      <c r="C25" s="5"/>
      <c r="D25" s="5"/>
      <c r="E25" s="5"/>
    </row>
    <row r="26" customFormat="false" ht="27.75" hidden="false" customHeight="true" outlineLevel="0" collapsed="false">
      <c r="A26" s="5" t="s">
        <v>635</v>
      </c>
      <c r="B26" s="5"/>
      <c r="C26" s="5"/>
      <c r="D26" s="5"/>
      <c r="E26" s="5"/>
    </row>
  </sheetData>
  <mergeCells count="9">
    <mergeCell ref="A2:E2"/>
    <mergeCell ref="A3:E3"/>
    <mergeCell ref="A5:E5"/>
    <mergeCell ref="A12:E12"/>
    <mergeCell ref="A22:E22"/>
    <mergeCell ref="A23:E23"/>
    <mergeCell ref="A24:E24"/>
    <mergeCell ref="A25:E25"/>
    <mergeCell ref="A26:E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6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2"/>
    <col collapsed="false" customWidth="true" hidden="false" outlineLevel="0" max="2" min="2" style="0" width="62"/>
    <col collapsed="false" customWidth="true" hidden="false" outlineLevel="0" max="6" min="3" style="0" width="19"/>
  </cols>
  <sheetData>
    <row r="2" customFormat="false" ht="24" hidden="false" customHeight="true" outlineLevel="0" collapsed="false">
      <c r="A2" s="1" t="s">
        <v>636</v>
      </c>
      <c r="B2" s="1"/>
      <c r="C2" s="1"/>
      <c r="D2" s="1"/>
      <c r="E2" s="1"/>
      <c r="F2" s="1"/>
    </row>
    <row r="3" customFormat="false" ht="51.75" hidden="false" customHeight="true" outlineLevel="0" collapsed="false">
      <c r="A3" s="6" t="s">
        <v>637</v>
      </c>
      <c r="B3" s="6"/>
      <c r="C3" s="6"/>
      <c r="D3" s="6"/>
      <c r="E3" s="6"/>
      <c r="F3" s="6"/>
    </row>
    <row r="5" customFormat="false" ht="15" hidden="false" customHeight="false" outlineLevel="0" collapsed="false">
      <c r="A5" s="3" t="s">
        <v>638</v>
      </c>
      <c r="B5" s="3"/>
      <c r="C5" s="3"/>
      <c r="D5" s="3"/>
      <c r="E5" s="3"/>
      <c r="F5" s="3"/>
    </row>
    <row r="6" customFormat="false" ht="30" hidden="false" customHeight="true" outlineLevel="0" collapsed="false">
      <c r="A6" s="9" t="s">
        <v>639</v>
      </c>
      <c r="B6" s="9" t="s">
        <v>595</v>
      </c>
      <c r="C6" s="9" t="s">
        <v>640</v>
      </c>
      <c r="D6" s="9" t="s">
        <v>641</v>
      </c>
      <c r="E6" s="9" t="s">
        <v>642</v>
      </c>
      <c r="F6" s="9" t="s">
        <v>643</v>
      </c>
    </row>
    <row r="7" customFormat="false" ht="23.85" hidden="false" customHeight="false" outlineLevel="0" collapsed="false">
      <c r="A7" s="10" t="s">
        <v>644</v>
      </c>
      <c r="B7" s="10" t="s">
        <v>645</v>
      </c>
      <c r="C7" s="10" t="s">
        <v>324</v>
      </c>
      <c r="D7" s="10" t="s">
        <v>646</v>
      </c>
      <c r="E7" s="10" t="s">
        <v>647</v>
      </c>
      <c r="F7" s="10" t="s">
        <v>648</v>
      </c>
    </row>
    <row r="8" customFormat="false" ht="15" hidden="false" customHeight="false" outlineLevel="0" collapsed="false">
      <c r="A8" s="10" t="s">
        <v>649</v>
      </c>
      <c r="B8" s="10" t="s">
        <v>650</v>
      </c>
      <c r="C8" s="26" t="n">
        <v>0</v>
      </c>
      <c r="D8" s="62" t="n">
        <v>3406000</v>
      </c>
      <c r="E8" s="62" t="n">
        <v>3406000</v>
      </c>
      <c r="F8" s="62" t="n">
        <v>2700000</v>
      </c>
    </row>
    <row r="9" customFormat="false" ht="15" hidden="false" customHeight="false" outlineLevel="0" collapsed="false">
      <c r="A9" s="10" t="s">
        <v>651</v>
      </c>
      <c r="B9" s="10" t="s">
        <v>652</v>
      </c>
      <c r="C9" s="26" t="n">
        <v>0</v>
      </c>
      <c r="D9" s="62" t="n">
        <v>0</v>
      </c>
      <c r="E9" s="62" t="n">
        <v>1960000</v>
      </c>
      <c r="F9" s="62" t="n">
        <v>0</v>
      </c>
    </row>
    <row r="10" customFormat="false" ht="15" hidden="false" customHeight="false" outlineLevel="0" collapsed="false">
      <c r="A10" s="10" t="s">
        <v>653</v>
      </c>
      <c r="B10" s="10" t="s">
        <v>654</v>
      </c>
      <c r="C10" s="26" t="n">
        <v>0</v>
      </c>
      <c r="D10" s="62" t="n">
        <v>0</v>
      </c>
      <c r="E10" s="62" t="n">
        <v>60000</v>
      </c>
      <c r="F10" s="62" t="n">
        <v>0</v>
      </c>
    </row>
    <row r="11" customFormat="false" ht="15" hidden="false" customHeight="false" outlineLevel="0" collapsed="false">
      <c r="A11" s="10" t="s">
        <v>655</v>
      </c>
      <c r="B11" s="10" t="s">
        <v>656</v>
      </c>
      <c r="C11" s="26" t="n">
        <v>0</v>
      </c>
      <c r="D11" s="62" t="n">
        <v>900000</v>
      </c>
      <c r="E11" s="62" t="n">
        <v>900000</v>
      </c>
      <c r="F11" s="62" t="n">
        <v>400000</v>
      </c>
    </row>
    <row r="12" customFormat="false" ht="15" hidden="false" customHeight="false" outlineLevel="0" collapsed="false">
      <c r="A12" s="10" t="s">
        <v>657</v>
      </c>
      <c r="B12" s="10" t="s">
        <v>658</v>
      </c>
      <c r="C12" s="26" t="n">
        <v>0</v>
      </c>
      <c r="D12" s="62" t="n">
        <v>12000</v>
      </c>
      <c r="E12" s="62" t="n">
        <v>12000</v>
      </c>
      <c r="F12" s="62" t="n">
        <v>12000</v>
      </c>
    </row>
    <row r="13" customFormat="false" ht="15" hidden="false" customHeight="false" outlineLevel="0" collapsed="false">
      <c r="A13" s="10" t="s">
        <v>659</v>
      </c>
      <c r="B13" s="10" t="s">
        <v>660</v>
      </c>
      <c r="C13" s="63" t="n">
        <v>0.01</v>
      </c>
      <c r="D13" s="10"/>
      <c r="E13" s="10"/>
      <c r="F13" s="10"/>
    </row>
    <row r="14" customFormat="false" ht="15" hidden="false" customHeight="false" outlineLevel="0" collapsed="false">
      <c r="A14" s="10" t="s">
        <v>661</v>
      </c>
      <c r="B14" s="10" t="s">
        <v>662</v>
      </c>
      <c r="C14" s="62" t="n">
        <v>1000000</v>
      </c>
      <c r="D14" s="10"/>
      <c r="E14" s="10"/>
      <c r="F14" s="10"/>
    </row>
    <row r="16" customFormat="false" ht="15" hidden="false" customHeight="false" outlineLevel="0" collapsed="false">
      <c r="A16" s="3" t="s">
        <v>663</v>
      </c>
      <c r="B16" s="3"/>
      <c r="C16" s="3"/>
      <c r="D16" s="3"/>
      <c r="E16" s="3"/>
      <c r="F16" s="3"/>
    </row>
    <row r="17" customFormat="false" ht="30" hidden="false" customHeight="true" outlineLevel="0" collapsed="false">
      <c r="A17" s="9" t="s">
        <v>349</v>
      </c>
      <c r="B17" s="9" t="s">
        <v>664</v>
      </c>
      <c r="C17" s="9" t="s">
        <v>665</v>
      </c>
      <c r="D17" s="9" t="s">
        <v>641</v>
      </c>
      <c r="E17" s="9" t="s">
        <v>642</v>
      </c>
      <c r="F17" s="9" t="s">
        <v>643</v>
      </c>
    </row>
    <row r="18" customFormat="false" ht="15" hidden="false" customHeight="false" outlineLevel="0" collapsed="false">
      <c r="A18" s="10" t="s">
        <v>666</v>
      </c>
      <c r="B18" s="10" t="s">
        <v>667</v>
      </c>
      <c r="C18" s="26" t="n">
        <f aca="false">C8+C9+C10</f>
        <v>0</v>
      </c>
      <c r="D18" s="26" t="n">
        <f aca="false">D8+D9+D10</f>
        <v>3406000</v>
      </c>
      <c r="E18" s="26" t="n">
        <f aca="false">E8+E9+E10</f>
        <v>5426000</v>
      </c>
      <c r="F18" s="26" t="n">
        <f aca="false">F8+F9+F10</f>
        <v>2700000</v>
      </c>
    </row>
    <row r="19" customFormat="false" ht="15" hidden="false" customHeight="false" outlineLevel="0" collapsed="false">
      <c r="A19" s="10" t="s">
        <v>668</v>
      </c>
      <c r="B19" s="10" t="s">
        <v>669</v>
      </c>
      <c r="C19" s="26" t="n">
        <f aca="false">MAX(0,100000+C18-$C$14)</f>
        <v>0</v>
      </c>
      <c r="D19" s="26" t="n">
        <f aca="false">MAX(0,100000+D18-$C$14)</f>
        <v>2506000</v>
      </c>
      <c r="E19" s="26" t="n">
        <f aca="false">MAX(0,100000+E18-$C$14)</f>
        <v>4526000</v>
      </c>
      <c r="F19" s="26" t="n">
        <f aca="false">MAX(0,100000+F18-$C$14)</f>
        <v>1800000</v>
      </c>
    </row>
    <row r="20" customFormat="false" ht="15" hidden="false" customHeight="false" outlineLevel="0" collapsed="false">
      <c r="A20" s="16" t="s">
        <v>670</v>
      </c>
      <c r="B20" s="16" t="s">
        <v>671</v>
      </c>
      <c r="C20" s="64" t="n">
        <f aca="false">C19*$C$13</f>
        <v>0</v>
      </c>
      <c r="D20" s="64" t="n">
        <f aca="false">D19*$C$13</f>
        <v>25060</v>
      </c>
      <c r="E20" s="64" t="n">
        <f aca="false">E19*$C$13</f>
        <v>45260</v>
      </c>
      <c r="F20" s="64" t="n">
        <f aca="false">F19*$C$13</f>
        <v>18000</v>
      </c>
    </row>
    <row r="21" customFormat="false" ht="15" hidden="false" customHeight="false" outlineLevel="0" collapsed="false">
      <c r="A21" s="16" t="s">
        <v>672</v>
      </c>
      <c r="B21" s="16" t="s">
        <v>673</v>
      </c>
      <c r="C21" s="64" t="n">
        <f aca="false">C20+C12</f>
        <v>0</v>
      </c>
      <c r="D21" s="64" t="n">
        <f aca="false">D20+D12</f>
        <v>37060</v>
      </c>
      <c r="E21" s="64" t="n">
        <f aca="false">E20+E12</f>
        <v>57260</v>
      </c>
      <c r="F21" s="64" t="n">
        <f aca="false">F20+F12</f>
        <v>30000</v>
      </c>
    </row>
    <row r="22" customFormat="false" ht="15" hidden="false" customHeight="false" outlineLevel="0" collapsed="false">
      <c r="A22" s="10" t="s">
        <v>674</v>
      </c>
      <c r="B22" s="10" t="s">
        <v>675</v>
      </c>
      <c r="C22" s="26" t="n">
        <f aca="false">C18-C11-C21</f>
        <v>0</v>
      </c>
      <c r="D22" s="26" t="n">
        <f aca="false">D18-D11-D21</f>
        <v>2468940</v>
      </c>
      <c r="E22" s="26" t="n">
        <f aca="false">E18-E11-E21</f>
        <v>4468740</v>
      </c>
      <c r="F22" s="26" t="n">
        <f aca="false">F18-F11-F21</f>
        <v>2270000</v>
      </c>
    </row>
    <row r="24" customFormat="false" ht="64.5" hidden="false" customHeight="true" outlineLevel="0" collapsed="false">
      <c r="A24" s="36" t="s">
        <v>676</v>
      </c>
      <c r="B24" s="36"/>
      <c r="C24" s="36"/>
      <c r="D24" s="36"/>
      <c r="E24" s="36"/>
      <c r="F24" s="36"/>
    </row>
    <row r="26" customFormat="false" ht="15" hidden="false" customHeight="false" outlineLevel="0" collapsed="false">
      <c r="A26" s="3" t="s">
        <v>677</v>
      </c>
      <c r="B26" s="3"/>
      <c r="C26" s="3"/>
      <c r="D26" s="3"/>
      <c r="E26" s="3"/>
      <c r="F26" s="3"/>
    </row>
    <row r="27" customFormat="false" ht="30" hidden="false" customHeight="true" outlineLevel="0" collapsed="false">
      <c r="A27" s="9" t="s">
        <v>349</v>
      </c>
      <c r="B27" s="9" t="s">
        <v>678</v>
      </c>
      <c r="C27" s="9" t="s">
        <v>679</v>
      </c>
      <c r="D27" s="9" t="s">
        <v>641</v>
      </c>
      <c r="E27" s="9" t="s">
        <v>642</v>
      </c>
      <c r="F27" s="9" t="s">
        <v>643</v>
      </c>
    </row>
    <row r="28" customFormat="false" ht="15" hidden="false" customHeight="false" outlineLevel="0" collapsed="false">
      <c r="A28" s="10" t="s">
        <v>609</v>
      </c>
      <c r="B28" s="10" t="s">
        <v>680</v>
      </c>
      <c r="C28" s="26" t="n">
        <v>52063.9</v>
      </c>
      <c r="D28" s="26" t="n">
        <f aca="false">52063.9+D10-D21</f>
        <v>15003.9</v>
      </c>
      <c r="E28" s="26" t="n">
        <f aca="false">52063.9+E10-E21</f>
        <v>54803.9</v>
      </c>
      <c r="F28" s="26" t="n">
        <f aca="false">52063.9+F10-F21</f>
        <v>22063.9</v>
      </c>
    </row>
    <row r="29" customFormat="false" ht="15" hidden="false" customHeight="false" outlineLevel="0" collapsed="false">
      <c r="A29" s="10" t="s">
        <v>681</v>
      </c>
      <c r="B29" s="10" t="s">
        <v>682</v>
      </c>
      <c r="C29" s="26" t="n">
        <v>4865154.75</v>
      </c>
      <c r="D29" s="26" t="n">
        <f aca="false">4865154.75</f>
        <v>4865154.75</v>
      </c>
      <c r="E29" s="26" t="n">
        <f aca="false">4865154.75</f>
        <v>4865154.75</v>
      </c>
      <c r="F29" s="26" t="n">
        <f aca="false">4865154.75</f>
        <v>4865154.75</v>
      </c>
    </row>
    <row r="30" customFormat="false" ht="15" hidden="false" customHeight="false" outlineLevel="0" collapsed="false">
      <c r="A30" s="10" t="s">
        <v>613</v>
      </c>
      <c r="B30" s="10" t="s">
        <v>682</v>
      </c>
      <c r="C30" s="26" t="n">
        <v>5411000</v>
      </c>
      <c r="D30" s="26" t="n">
        <f aca="false">5411000</f>
        <v>5411000</v>
      </c>
      <c r="E30" s="26" t="n">
        <f aca="false">5411000</f>
        <v>5411000</v>
      </c>
      <c r="F30" s="26" t="n">
        <f aca="false">5411000</f>
        <v>5411000</v>
      </c>
    </row>
    <row r="31" customFormat="false" ht="15" hidden="false" customHeight="false" outlineLevel="0" collapsed="false">
      <c r="A31" s="65" t="s">
        <v>370</v>
      </c>
      <c r="B31" s="65"/>
      <c r="C31" s="66" t="n">
        <v>10328218.65</v>
      </c>
      <c r="D31" s="66" t="n">
        <f aca="false">D28+D29+D30</f>
        <v>10291158.65</v>
      </c>
      <c r="E31" s="66" t="n">
        <f aca="false">E28+E29+E30</f>
        <v>10330958.65</v>
      </c>
      <c r="F31" s="66" t="n">
        <f aca="false">F28+F29+F30</f>
        <v>10298218.65</v>
      </c>
    </row>
    <row r="32" customFormat="false" ht="15" hidden="false" customHeight="false" outlineLevel="0" collapsed="false">
      <c r="A32" s="10" t="s">
        <v>683</v>
      </c>
      <c r="B32" s="10" t="s">
        <v>682</v>
      </c>
      <c r="C32" s="26" t="n">
        <v>4862505</v>
      </c>
      <c r="D32" s="26" t="n">
        <f aca="false">4862505</f>
        <v>4862505</v>
      </c>
      <c r="E32" s="26" t="n">
        <f aca="false">4862505</f>
        <v>4862505</v>
      </c>
      <c r="F32" s="26" t="n">
        <f aca="false">4862505</f>
        <v>4862505</v>
      </c>
    </row>
    <row r="33" customFormat="false" ht="15" hidden="false" customHeight="false" outlineLevel="0" collapsed="false">
      <c r="A33" s="10" t="s">
        <v>377</v>
      </c>
      <c r="B33" s="10" t="s">
        <v>684</v>
      </c>
      <c r="C33" s="26" t="n">
        <v>3406000</v>
      </c>
      <c r="D33" s="26" t="n">
        <f aca="false">3406000-D8</f>
        <v>0</v>
      </c>
      <c r="E33" s="26" t="n">
        <f aca="false">3406000-E8</f>
        <v>0</v>
      </c>
      <c r="F33" s="26" t="n">
        <f aca="false">3406000-F8</f>
        <v>706000</v>
      </c>
    </row>
    <row r="34" customFormat="false" ht="15" hidden="false" customHeight="false" outlineLevel="0" collapsed="false">
      <c r="A34" s="10" t="s">
        <v>379</v>
      </c>
      <c r="B34" s="10" t="s">
        <v>684</v>
      </c>
      <c r="C34" s="26" t="n">
        <v>1960000</v>
      </c>
      <c r="D34" s="26" t="n">
        <f aca="false">1960000-D9</f>
        <v>1960000</v>
      </c>
      <c r="E34" s="26" t="n">
        <f aca="false">1960000-E9</f>
        <v>0</v>
      </c>
      <c r="F34" s="26" t="n">
        <f aca="false">1960000-F9</f>
        <v>1960000</v>
      </c>
    </row>
    <row r="35" customFormat="false" ht="15" hidden="false" customHeight="false" outlineLevel="0" collapsed="false">
      <c r="A35" s="41" t="s">
        <v>382</v>
      </c>
      <c r="B35" s="41"/>
      <c r="C35" s="67" t="n">
        <v>10228505</v>
      </c>
      <c r="D35" s="67" t="n">
        <f aca="false">D32+D33+D34</f>
        <v>6822505</v>
      </c>
      <c r="E35" s="67" t="n">
        <f aca="false">E32+E33+E34</f>
        <v>4862505</v>
      </c>
      <c r="F35" s="67" t="n">
        <f aca="false">F32+F33+F34</f>
        <v>7528505</v>
      </c>
    </row>
    <row r="36" customFormat="false" ht="15" hidden="false" customHeight="false" outlineLevel="0" collapsed="false">
      <c r="A36" s="10" t="s">
        <v>11</v>
      </c>
      <c r="B36" s="10" t="s">
        <v>685</v>
      </c>
      <c r="C36" s="26" t="n">
        <v>100000</v>
      </c>
      <c r="D36" s="26" t="n">
        <f aca="false">100000+D11</f>
        <v>1000000</v>
      </c>
      <c r="E36" s="26" t="n">
        <f aca="false">100000+E11</f>
        <v>1000000</v>
      </c>
      <c r="F36" s="26" t="n">
        <f aca="false">100000+F11</f>
        <v>500000</v>
      </c>
    </row>
    <row r="37" customFormat="false" ht="15" hidden="false" customHeight="false" outlineLevel="0" collapsed="false">
      <c r="A37" s="10" t="s">
        <v>686</v>
      </c>
      <c r="B37" s="10" t="s">
        <v>687</v>
      </c>
      <c r="C37" s="26" t="n">
        <v>0</v>
      </c>
      <c r="D37" s="26" t="n">
        <f aca="false">D22</f>
        <v>2468940</v>
      </c>
      <c r="E37" s="26" t="n">
        <f aca="false">E22</f>
        <v>4468740</v>
      </c>
      <c r="F37" s="26" t="n">
        <f aca="false">F22</f>
        <v>2270000</v>
      </c>
    </row>
    <row r="38" customFormat="false" ht="15" hidden="false" customHeight="false" outlineLevel="0" collapsed="false">
      <c r="A38" s="10" t="s">
        <v>688</v>
      </c>
      <c r="B38" s="10" t="s">
        <v>682</v>
      </c>
      <c r="C38" s="26" t="n">
        <v>-286.35</v>
      </c>
      <c r="D38" s="26" t="n">
        <f aca="false">-286.35</f>
        <v>-286.35</v>
      </c>
      <c r="E38" s="26" t="n">
        <f aca="false">-286.35</f>
        <v>-286.35</v>
      </c>
      <c r="F38" s="26" t="n">
        <f aca="false">-286.35</f>
        <v>-286.35</v>
      </c>
    </row>
    <row r="39" customFormat="false" ht="15" hidden="false" customHeight="false" outlineLevel="0" collapsed="false">
      <c r="A39" s="41" t="s">
        <v>386</v>
      </c>
      <c r="B39" s="41"/>
      <c r="C39" s="67" t="n">
        <v>99713.65</v>
      </c>
      <c r="D39" s="67" t="n">
        <f aca="false">D36+D37+D38</f>
        <v>3468653.65</v>
      </c>
      <c r="E39" s="67" t="n">
        <f aca="false">E36+E37+E38</f>
        <v>5468453.65</v>
      </c>
      <c r="F39" s="67" t="n">
        <f aca="false">F36+F37+F38</f>
        <v>2769713.65</v>
      </c>
    </row>
    <row r="40" customFormat="false" ht="15" hidden="false" customHeight="false" outlineLevel="0" collapsed="false">
      <c r="A40" s="68" t="s">
        <v>689</v>
      </c>
      <c r="B40" s="69"/>
      <c r="C40" s="70" t="n">
        <f aca="false">C31-C35-C39</f>
        <v>3.78349795937538E-010</v>
      </c>
      <c r="D40" s="70" t="n">
        <f aca="false">D31-D35-D39</f>
        <v>0</v>
      </c>
      <c r="E40" s="70" t="n">
        <f aca="false">E31-E35-E39</f>
        <v>0</v>
      </c>
      <c r="F40" s="70" t="n">
        <f aca="false">F31-F35-F39</f>
        <v>0</v>
      </c>
    </row>
    <row r="42" customFormat="false" ht="15" hidden="false" customHeight="false" outlineLevel="0" collapsed="false">
      <c r="A42" s="3" t="s">
        <v>690</v>
      </c>
      <c r="B42" s="3"/>
      <c r="C42" s="3"/>
      <c r="D42" s="3"/>
      <c r="E42" s="3"/>
      <c r="F42" s="3"/>
    </row>
    <row r="43" customFormat="false" ht="30" hidden="false" customHeight="true" outlineLevel="0" collapsed="false">
      <c r="A43" s="9" t="s">
        <v>691</v>
      </c>
      <c r="B43" s="9" t="s">
        <v>692</v>
      </c>
      <c r="C43" s="9" t="s">
        <v>679</v>
      </c>
      <c r="D43" s="9" t="s">
        <v>641</v>
      </c>
      <c r="E43" s="9" t="s">
        <v>642</v>
      </c>
      <c r="F43" s="9" t="s">
        <v>643</v>
      </c>
    </row>
    <row r="44" customFormat="false" ht="23.85" hidden="false" customHeight="false" outlineLevel="0" collapsed="false">
      <c r="A44" s="15" t="s">
        <v>390</v>
      </c>
      <c r="B44" s="15" t="s">
        <v>693</v>
      </c>
      <c r="C44" s="71" t="n">
        <f aca="false">C39/C31</f>
        <v>0.00965448673958892</v>
      </c>
      <c r="D44" s="71" t="n">
        <f aca="false">D39/D31</f>
        <v>0.337051810001977</v>
      </c>
      <c r="E44" s="71" t="n">
        <f aca="false">E39/E31</f>
        <v>0.529326835511049</v>
      </c>
      <c r="F44" s="71" t="n">
        <f aca="false">F39/F31</f>
        <v>0.268950751982723</v>
      </c>
    </row>
    <row r="45" customFormat="false" ht="35.05" hidden="false" customHeight="false" outlineLevel="0" collapsed="false">
      <c r="A45" s="10" t="s">
        <v>694</v>
      </c>
      <c r="B45" s="10" t="s">
        <v>695</v>
      </c>
      <c r="C45" s="35" t="n">
        <f aca="false">C39-(C36+MIN(MAX(C37,0),C36/2))/2</f>
        <v>49713.65</v>
      </c>
      <c r="D45" s="35" t="n">
        <f aca="false">D39-(D36+MIN(MAX(D37,0),D36/2))/2</f>
        <v>2718653.65</v>
      </c>
      <c r="E45" s="35" t="n">
        <f aca="false">E39-(E36+MIN(MAX(E37,0),E36/2))/2</f>
        <v>4718453.65</v>
      </c>
      <c r="F45" s="35" t="n">
        <f aca="false">F39-(F36+MIN(MAX(F37,0),F36/2))/2</f>
        <v>2394713.65</v>
      </c>
    </row>
    <row r="46" customFormat="false" ht="15" hidden="false" customHeight="false" outlineLevel="0" collapsed="false">
      <c r="A46" s="10" t="s">
        <v>696</v>
      </c>
      <c r="B46" s="10" t="s">
        <v>697</v>
      </c>
      <c r="C46" s="35" t="n">
        <f aca="false">C33+C34</f>
        <v>5366000</v>
      </c>
      <c r="D46" s="35" t="n">
        <f aca="false">D33+D34</f>
        <v>1960000</v>
      </c>
      <c r="E46" s="35" t="n">
        <f aca="false">E33+E34</f>
        <v>0</v>
      </c>
      <c r="F46" s="35" t="n">
        <f aca="false">F33+F34</f>
        <v>2666000</v>
      </c>
    </row>
    <row r="47" customFormat="false" ht="15" hidden="false" customHeight="false" outlineLevel="0" collapsed="false">
      <c r="A47" s="10" t="s">
        <v>698</v>
      </c>
      <c r="B47" s="10" t="s">
        <v>699</v>
      </c>
      <c r="C47" s="35" t="n">
        <f aca="false">C28*1+(4865154.75+5411000)*0.7</f>
        <v>7245372.225</v>
      </c>
      <c r="D47" s="35" t="n">
        <f aca="false">D28*1+(4865154.75+5411000)*0.7</f>
        <v>7208312.225</v>
      </c>
      <c r="E47" s="35" t="n">
        <f aca="false">E28*1+(4865154.75+5411000)*0.7</f>
        <v>7248112.225</v>
      </c>
      <c r="F47" s="35" t="n">
        <f aca="false">F28*1+(4865154.75+5411000)*0.7</f>
        <v>7215372.225</v>
      </c>
    </row>
    <row r="48" customFormat="false" ht="23.85" hidden="false" customHeight="false" outlineLevel="0" collapsed="false">
      <c r="A48" s="15" t="s">
        <v>700</v>
      </c>
      <c r="B48" s="15" t="s">
        <v>701</v>
      </c>
      <c r="C48" s="72" t="n">
        <f aca="false">MIN(MAX(0,C31-C47-C39),C46)</f>
        <v>2983132.775</v>
      </c>
      <c r="D48" s="72" t="n">
        <f aca="false">MIN(MAX(0,D31-D47-D39),D46)</f>
        <v>0</v>
      </c>
      <c r="E48" s="72" t="n">
        <f aca="false">MIN(MAX(0,E31-E47-E39),E46)</f>
        <v>0</v>
      </c>
      <c r="F48" s="72" t="n">
        <f aca="false">MIN(MAX(0,F31-F47-F39),F46)</f>
        <v>313132.775000001</v>
      </c>
    </row>
    <row r="49" customFormat="false" ht="15" hidden="false" customHeight="false" outlineLevel="0" collapsed="false">
      <c r="A49" s="15" t="s">
        <v>702</v>
      </c>
      <c r="B49" s="15" t="s">
        <v>703</v>
      </c>
      <c r="C49" s="72" t="n">
        <f aca="false">C28</f>
        <v>52063.9</v>
      </c>
      <c r="D49" s="72" t="n">
        <f aca="false">D28</f>
        <v>15003.9</v>
      </c>
      <c r="E49" s="72" t="n">
        <f aca="false">E28</f>
        <v>54803.9</v>
      </c>
      <c r="F49" s="72" t="n">
        <f aca="false">F28</f>
        <v>22063.9</v>
      </c>
    </row>
    <row r="51" customFormat="false" ht="15" hidden="false" customHeight="false" outlineLevel="0" collapsed="false">
      <c r="A51" s="3" t="s">
        <v>704</v>
      </c>
      <c r="B51" s="3"/>
      <c r="C51" s="3"/>
      <c r="D51" s="3"/>
      <c r="E51" s="3"/>
      <c r="F51" s="3"/>
    </row>
    <row r="52" customFormat="false" ht="15" hidden="false" customHeight="false" outlineLevel="0" collapsed="false">
      <c r="A52" s="73" t="s">
        <v>705</v>
      </c>
    </row>
    <row r="53" customFormat="false" ht="42" hidden="false" customHeight="true" outlineLevel="0" collapsed="false">
      <c r="A53" s="5" t="s">
        <v>706</v>
      </c>
      <c r="B53" s="5"/>
      <c r="C53" s="5"/>
      <c r="D53" s="5"/>
      <c r="E53" s="5"/>
      <c r="F53" s="5"/>
    </row>
    <row r="54" customFormat="false" ht="15" hidden="false" customHeight="false" outlineLevel="0" collapsed="false">
      <c r="A54" s="73" t="s">
        <v>707</v>
      </c>
    </row>
    <row r="55" customFormat="false" ht="42" hidden="false" customHeight="true" outlineLevel="0" collapsed="false">
      <c r="A55" s="5" t="s">
        <v>708</v>
      </c>
      <c r="B55" s="5"/>
      <c r="C55" s="5"/>
      <c r="D55" s="5"/>
      <c r="E55" s="5"/>
      <c r="F55" s="5"/>
    </row>
    <row r="56" customFormat="false" ht="15" hidden="false" customHeight="false" outlineLevel="0" collapsed="false">
      <c r="A56" s="73" t="s">
        <v>709</v>
      </c>
    </row>
    <row r="57" customFormat="false" ht="42" hidden="false" customHeight="true" outlineLevel="0" collapsed="false">
      <c r="A57" s="5" t="s">
        <v>710</v>
      </c>
      <c r="B57" s="5"/>
      <c r="C57" s="5"/>
      <c r="D57" s="5"/>
      <c r="E57" s="5"/>
      <c r="F57" s="5"/>
    </row>
    <row r="59" customFormat="false" ht="15" hidden="false" customHeight="false" outlineLevel="0" collapsed="false">
      <c r="A59" s="3" t="s">
        <v>711</v>
      </c>
      <c r="B59" s="3"/>
      <c r="C59" s="3"/>
      <c r="D59" s="3"/>
      <c r="E59" s="3"/>
      <c r="F59" s="3"/>
    </row>
    <row r="60" customFormat="false" ht="30" hidden="false" customHeight="true" outlineLevel="0" collapsed="false">
      <c r="A60" s="9" t="s">
        <v>712</v>
      </c>
      <c r="B60" s="9" t="s">
        <v>290</v>
      </c>
      <c r="C60" s="9" t="s">
        <v>291</v>
      </c>
      <c r="D60" s="9" t="s">
        <v>713</v>
      </c>
      <c r="E60" s="9" t="s">
        <v>595</v>
      </c>
      <c r="F60" s="9"/>
    </row>
    <row r="61" customFormat="false" ht="15" hidden="false" customHeight="true" outlineLevel="0" collapsed="false">
      <c r="A61" s="10" t="s">
        <v>714</v>
      </c>
      <c r="B61" s="10" t="s">
        <v>206</v>
      </c>
      <c r="C61" s="10" t="s">
        <v>214</v>
      </c>
      <c r="D61" s="10" t="s">
        <v>715</v>
      </c>
      <c r="E61" s="10" t="s">
        <v>716</v>
      </c>
      <c r="F61" s="10"/>
    </row>
    <row r="62" customFormat="false" ht="35.05" hidden="false" customHeight="true" outlineLevel="0" collapsed="false">
      <c r="A62" s="10" t="s">
        <v>717</v>
      </c>
      <c r="B62" s="10" t="s">
        <v>206</v>
      </c>
      <c r="C62" s="10" t="s">
        <v>217</v>
      </c>
      <c r="D62" s="10" t="s">
        <v>718</v>
      </c>
      <c r="E62" s="10" t="s">
        <v>719</v>
      </c>
      <c r="F62" s="10"/>
    </row>
    <row r="63" customFormat="false" ht="23.85" hidden="false" customHeight="true" outlineLevel="0" collapsed="false">
      <c r="A63" s="10" t="s">
        <v>720</v>
      </c>
      <c r="B63" s="10" t="s">
        <v>217</v>
      </c>
      <c r="C63" s="10" t="s">
        <v>196</v>
      </c>
      <c r="D63" s="10" t="s">
        <v>670</v>
      </c>
      <c r="E63" s="10" t="s">
        <v>721</v>
      </c>
      <c r="F63" s="10"/>
    </row>
    <row r="64" customFormat="false" ht="23.85" hidden="false" customHeight="true" outlineLevel="0" collapsed="false">
      <c r="A64" s="10" t="s">
        <v>722</v>
      </c>
      <c r="B64" s="10" t="s">
        <v>217</v>
      </c>
      <c r="C64" s="10" t="s">
        <v>118</v>
      </c>
      <c r="D64" s="10" t="s">
        <v>723</v>
      </c>
      <c r="E64" s="10" t="s">
        <v>724</v>
      </c>
      <c r="F64" s="10"/>
    </row>
    <row r="65" customFormat="false" ht="23.85" hidden="false" customHeight="true" outlineLevel="0" collapsed="false">
      <c r="A65" s="10" t="s">
        <v>725</v>
      </c>
      <c r="B65" s="10" t="s">
        <v>196</v>
      </c>
      <c r="C65" s="10" t="s">
        <v>118</v>
      </c>
      <c r="D65" s="10" t="s">
        <v>670</v>
      </c>
      <c r="E65" s="10" t="s">
        <v>726</v>
      </c>
      <c r="F65" s="10"/>
    </row>
    <row r="66" customFormat="false" ht="15" hidden="false" customHeight="true" outlineLevel="0" collapsed="false">
      <c r="A66" s="10" t="s">
        <v>727</v>
      </c>
      <c r="B66" s="10" t="s">
        <v>118</v>
      </c>
      <c r="C66" s="10" t="s">
        <v>217</v>
      </c>
      <c r="D66" s="10" t="s">
        <v>728</v>
      </c>
      <c r="E66" s="10" t="s">
        <v>729</v>
      </c>
      <c r="F66" s="10"/>
    </row>
    <row r="68" customFormat="false" ht="51.75" hidden="false" customHeight="true" outlineLevel="0" collapsed="false">
      <c r="A68" s="7" t="s">
        <v>730</v>
      </c>
      <c r="B68" s="7"/>
      <c r="C68" s="7"/>
      <c r="D68" s="7"/>
      <c r="E68" s="7"/>
      <c r="F68" s="7"/>
    </row>
  </sheetData>
  <mergeCells count="19">
    <mergeCell ref="A2:F2"/>
    <mergeCell ref="A3:F3"/>
    <mergeCell ref="A5:F5"/>
    <mergeCell ref="A16:F16"/>
    <mergeCell ref="A24:F24"/>
    <mergeCell ref="A26:F26"/>
    <mergeCell ref="A42:F42"/>
    <mergeCell ref="A51:F51"/>
    <mergeCell ref="A53:F53"/>
    <mergeCell ref="A55:F55"/>
    <mergeCell ref="A57:F57"/>
    <mergeCell ref="A59:F59"/>
    <mergeCell ref="E61:F61"/>
    <mergeCell ref="E62:F62"/>
    <mergeCell ref="E63:F63"/>
    <mergeCell ref="E64:F64"/>
    <mergeCell ref="E65:F65"/>
    <mergeCell ref="E66:F66"/>
    <mergeCell ref="A68:F6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7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2"/>
    <col collapsed="false" customWidth="true" hidden="false" outlineLevel="0" max="2" min="2" style="0" width="62"/>
    <col collapsed="false" customWidth="true" hidden="false" outlineLevel="0" max="6" min="3" style="0" width="19"/>
  </cols>
  <sheetData>
    <row r="2" customFormat="false" ht="24" hidden="false" customHeight="true" outlineLevel="0" collapsed="false">
      <c r="A2" s="1" t="s">
        <v>731</v>
      </c>
      <c r="B2" s="1"/>
      <c r="C2" s="1"/>
      <c r="D2" s="1"/>
      <c r="E2" s="1"/>
      <c r="F2" s="1"/>
    </row>
    <row r="3" customFormat="false" ht="51.75" hidden="false" customHeight="true" outlineLevel="0" collapsed="false">
      <c r="A3" s="6" t="s">
        <v>732</v>
      </c>
      <c r="B3" s="6"/>
      <c r="C3" s="6"/>
      <c r="D3" s="6"/>
      <c r="E3" s="6"/>
      <c r="F3" s="6"/>
    </row>
    <row r="5" customFormat="false" ht="25.5" hidden="false" customHeight="true" outlineLevel="0" collapsed="false">
      <c r="A5" s="36" t="s">
        <v>733</v>
      </c>
      <c r="B5" s="36"/>
      <c r="C5" s="36"/>
      <c r="D5" s="36"/>
      <c r="E5" s="36"/>
      <c r="F5" s="36"/>
    </row>
    <row r="7" customFormat="false" ht="15" hidden="false" customHeight="false" outlineLevel="0" collapsed="false">
      <c r="A7" s="3" t="s">
        <v>734</v>
      </c>
      <c r="B7" s="3"/>
      <c r="C7" s="3"/>
      <c r="D7" s="3"/>
      <c r="E7" s="3"/>
      <c r="F7" s="3"/>
    </row>
    <row r="8" customFormat="false" ht="30" hidden="false" customHeight="true" outlineLevel="0" collapsed="false">
      <c r="A8" s="9" t="s">
        <v>349</v>
      </c>
      <c r="B8" s="9" t="s">
        <v>595</v>
      </c>
      <c r="C8" s="9" t="s">
        <v>560</v>
      </c>
      <c r="D8" s="9"/>
      <c r="E8" s="9"/>
      <c r="F8" s="9"/>
    </row>
    <row r="9" customFormat="false" ht="15" hidden="false" customHeight="false" outlineLevel="0" collapsed="false">
      <c r="A9" s="10" t="s">
        <v>735</v>
      </c>
      <c r="B9" s="10" t="s">
        <v>736</v>
      </c>
      <c r="C9" s="62" t="n">
        <v>20000</v>
      </c>
      <c r="D9" s="10"/>
      <c r="E9" s="10"/>
      <c r="F9" s="10"/>
    </row>
    <row r="10" customFormat="false" ht="15" hidden="false" customHeight="false" outlineLevel="0" collapsed="false">
      <c r="A10" s="10" t="s">
        <v>737</v>
      </c>
      <c r="B10" s="10" t="s">
        <v>736</v>
      </c>
      <c r="C10" s="62" t="n">
        <v>100000</v>
      </c>
      <c r="D10" s="10"/>
      <c r="E10" s="10"/>
      <c r="F10" s="10"/>
    </row>
    <row r="11" customFormat="false" ht="15" hidden="false" customHeight="false" outlineLevel="0" collapsed="false">
      <c r="A11" s="10" t="s">
        <v>738</v>
      </c>
      <c r="B11" s="10" t="s">
        <v>739</v>
      </c>
      <c r="C11" s="62" t="n">
        <v>50000</v>
      </c>
      <c r="D11" s="10"/>
      <c r="E11" s="10"/>
      <c r="F11" s="10"/>
    </row>
    <row r="12" customFormat="false" ht="15" hidden="false" customHeight="false" outlineLevel="0" collapsed="false">
      <c r="A12" s="10" t="s">
        <v>740</v>
      </c>
      <c r="B12" s="10" t="s">
        <v>741</v>
      </c>
      <c r="C12" s="62" t="n">
        <v>1500000</v>
      </c>
      <c r="D12" s="10"/>
      <c r="E12" s="10"/>
      <c r="F12" s="10"/>
    </row>
    <row r="13" customFormat="false" ht="15" hidden="false" customHeight="false" outlineLevel="0" collapsed="false">
      <c r="A13" s="10" t="s">
        <v>742</v>
      </c>
      <c r="B13" s="10" t="s">
        <v>743</v>
      </c>
      <c r="C13" s="62" t="n">
        <v>100000</v>
      </c>
      <c r="D13" s="10"/>
      <c r="E13" s="10"/>
      <c r="F13" s="10"/>
    </row>
    <row r="14" customFormat="false" ht="15" hidden="false" customHeight="false" outlineLevel="0" collapsed="false">
      <c r="A14" s="10" t="s">
        <v>744</v>
      </c>
      <c r="B14" s="10" t="s">
        <v>736</v>
      </c>
      <c r="C14" s="62" t="n">
        <v>1530000</v>
      </c>
      <c r="D14" s="10"/>
      <c r="E14" s="10"/>
      <c r="F14" s="10"/>
    </row>
    <row r="15" customFormat="false" ht="15" hidden="false" customHeight="false" outlineLevel="0" collapsed="false">
      <c r="A15" s="10" t="s">
        <v>745</v>
      </c>
      <c r="B15" s="10" t="s">
        <v>746</v>
      </c>
      <c r="C15" s="62" t="n">
        <v>3406000</v>
      </c>
      <c r="D15" s="10"/>
      <c r="E15" s="10"/>
      <c r="F15" s="10"/>
    </row>
    <row r="16" customFormat="false" ht="15" hidden="false" customHeight="false" outlineLevel="0" collapsed="false">
      <c r="A16" s="10" t="s">
        <v>747</v>
      </c>
      <c r="B16" s="10" t="s">
        <v>748</v>
      </c>
      <c r="C16" s="62" t="n">
        <v>1500000</v>
      </c>
      <c r="D16" s="10"/>
      <c r="E16" s="10"/>
      <c r="F16" s="10"/>
    </row>
    <row r="17" customFormat="false" ht="23.85" hidden="false" customHeight="false" outlineLevel="0" collapsed="false">
      <c r="A17" s="10" t="s">
        <v>749</v>
      </c>
      <c r="B17" s="10" t="s">
        <v>750</v>
      </c>
      <c r="C17" s="63" t="n">
        <v>0.175</v>
      </c>
      <c r="D17" s="10"/>
      <c r="E17" s="10"/>
      <c r="F17" s="10"/>
    </row>
    <row r="18" customFormat="false" ht="15" hidden="false" customHeight="false" outlineLevel="0" collapsed="false">
      <c r="A18" s="10" t="s">
        <v>751</v>
      </c>
      <c r="B18" s="10" t="s">
        <v>752</v>
      </c>
      <c r="C18" s="62" t="n">
        <v>3406000</v>
      </c>
      <c r="D18" s="10"/>
      <c r="E18" s="10"/>
      <c r="F18" s="10"/>
    </row>
    <row r="20" customFormat="false" ht="15" hidden="false" customHeight="false" outlineLevel="0" collapsed="false">
      <c r="A20" s="3" t="s">
        <v>753</v>
      </c>
      <c r="B20" s="3"/>
      <c r="C20" s="3"/>
      <c r="D20" s="3"/>
      <c r="E20" s="3"/>
      <c r="F20" s="3"/>
    </row>
    <row r="21" customFormat="false" ht="30" hidden="false" customHeight="true" outlineLevel="0" collapsed="false">
      <c r="A21" s="9" t="s">
        <v>349</v>
      </c>
      <c r="B21" s="9" t="s">
        <v>754</v>
      </c>
      <c r="C21" s="9" t="s">
        <v>755</v>
      </c>
      <c r="D21" s="9" t="s">
        <v>756</v>
      </c>
      <c r="E21" s="9" t="s">
        <v>757</v>
      </c>
      <c r="F21" s="9"/>
    </row>
    <row r="22" customFormat="false" ht="15" hidden="false" customHeight="false" outlineLevel="0" collapsed="false">
      <c r="A22" s="10" t="s">
        <v>609</v>
      </c>
      <c r="B22" s="10" t="s">
        <v>758</v>
      </c>
      <c r="C22" s="26" t="n">
        <f aca="false">C11</f>
        <v>50000</v>
      </c>
      <c r="D22" s="26" t="n">
        <f aca="false">C22</f>
        <v>50000</v>
      </c>
      <c r="E22" s="26" t="n">
        <f aca="false">D22</f>
        <v>50000</v>
      </c>
      <c r="F22" s="10"/>
    </row>
    <row r="23" customFormat="false" ht="15" hidden="false" customHeight="false" outlineLevel="0" collapsed="false">
      <c r="A23" s="10" t="s">
        <v>759</v>
      </c>
      <c r="B23" s="10" t="s">
        <v>760</v>
      </c>
      <c r="C23" s="26" t="n">
        <f aca="false">C12</f>
        <v>1500000</v>
      </c>
      <c r="D23" s="26" t="n">
        <f aca="false">C23-C16</f>
        <v>0</v>
      </c>
      <c r="E23" s="26" t="n">
        <f aca="false">D23</f>
        <v>0</v>
      </c>
      <c r="F23" s="10"/>
    </row>
    <row r="24" customFormat="false" ht="15" hidden="false" customHeight="false" outlineLevel="0" collapsed="false">
      <c r="A24" s="10" t="s">
        <v>761</v>
      </c>
      <c r="B24" s="10" t="s">
        <v>762</v>
      </c>
      <c r="C24" s="26" t="n">
        <f aca="false">0</f>
        <v>0</v>
      </c>
      <c r="D24" s="26" t="n">
        <f aca="false">C24+C15</f>
        <v>3406000</v>
      </c>
      <c r="E24" s="26" t="n">
        <f aca="false">D24-C18</f>
        <v>0</v>
      </c>
      <c r="F24" s="10"/>
    </row>
    <row r="25" customFormat="false" ht="15" hidden="false" customHeight="false" outlineLevel="0" collapsed="false">
      <c r="A25" s="10" t="s">
        <v>763</v>
      </c>
      <c r="B25" s="10" t="s">
        <v>764</v>
      </c>
      <c r="C25" s="26" t="n">
        <f aca="false">C13</f>
        <v>100000</v>
      </c>
      <c r="D25" s="26" t="n">
        <f aca="false">C25</f>
        <v>100000</v>
      </c>
      <c r="E25" s="26" t="n">
        <f aca="false">D25+C18</f>
        <v>3506000</v>
      </c>
      <c r="F25" s="10"/>
    </row>
    <row r="26" customFormat="false" ht="15" hidden="false" customHeight="false" outlineLevel="0" collapsed="false">
      <c r="A26" s="65" t="s">
        <v>370</v>
      </c>
      <c r="B26" s="65"/>
      <c r="C26" s="66" t="n">
        <f aca="false">C22+C23+C24+C25</f>
        <v>1650000</v>
      </c>
      <c r="D26" s="66" t="n">
        <f aca="false">D22+D23+D24+D25</f>
        <v>3556000</v>
      </c>
      <c r="E26" s="66" t="n">
        <f aca="false">E22+E23+E24+E25</f>
        <v>3556000</v>
      </c>
      <c r="F26" s="65"/>
    </row>
    <row r="27" customFormat="false" ht="15" hidden="false" customHeight="false" outlineLevel="0" collapsed="false">
      <c r="A27" s="10" t="s">
        <v>765</v>
      </c>
      <c r="B27" s="10" t="s">
        <v>682</v>
      </c>
      <c r="C27" s="26" t="n">
        <f aca="false">C14</f>
        <v>1530000</v>
      </c>
      <c r="D27" s="26" t="n">
        <f aca="false">C27</f>
        <v>1530000</v>
      </c>
      <c r="E27" s="26" t="n">
        <f aca="false">D27</f>
        <v>1530000</v>
      </c>
      <c r="F27" s="10"/>
    </row>
    <row r="28" customFormat="false" ht="15" hidden="false" customHeight="false" outlineLevel="0" collapsed="false">
      <c r="A28" s="10" t="s">
        <v>766</v>
      </c>
      <c r="B28" s="10" t="s">
        <v>767</v>
      </c>
      <c r="C28" s="26" t="n">
        <f aca="false">0</f>
        <v>0</v>
      </c>
      <c r="D28" s="26" t="n">
        <f aca="false">(C15-C16)*C17</f>
        <v>333550</v>
      </c>
      <c r="E28" s="26" t="n">
        <f aca="false">D28</f>
        <v>333550</v>
      </c>
      <c r="F28" s="10"/>
    </row>
    <row r="29" customFormat="false" ht="15" hidden="false" customHeight="false" outlineLevel="0" collapsed="false">
      <c r="A29" s="10" t="s">
        <v>768</v>
      </c>
      <c r="B29" s="10" t="s">
        <v>682</v>
      </c>
      <c r="C29" s="26" t="n">
        <f aca="false">C9</f>
        <v>20000</v>
      </c>
      <c r="D29" s="26" t="n">
        <f aca="false">C29</f>
        <v>20000</v>
      </c>
      <c r="E29" s="26" t="n">
        <f aca="false">D29</f>
        <v>20000</v>
      </c>
      <c r="F29" s="10"/>
    </row>
    <row r="30" customFormat="false" ht="15" hidden="false" customHeight="false" outlineLevel="0" collapsed="false">
      <c r="A30" s="10" t="s">
        <v>769</v>
      </c>
      <c r="B30" s="10" t="s">
        <v>682</v>
      </c>
      <c r="C30" s="26" t="n">
        <f aca="false">C10</f>
        <v>100000</v>
      </c>
      <c r="D30" s="26" t="n">
        <f aca="false">C30</f>
        <v>100000</v>
      </c>
      <c r="E30" s="26" t="n">
        <f aca="false">D30</f>
        <v>100000</v>
      </c>
      <c r="F30" s="10"/>
    </row>
    <row r="31" customFormat="false" ht="15" hidden="false" customHeight="false" outlineLevel="0" collapsed="false">
      <c r="A31" s="10" t="s">
        <v>770</v>
      </c>
      <c r="B31" s="10" t="s">
        <v>771</v>
      </c>
      <c r="C31" s="26" t="n">
        <f aca="false">0</f>
        <v>0</v>
      </c>
      <c r="D31" s="26" t="n">
        <f aca="false">(C15-C16)*(1-C17)</f>
        <v>1572450</v>
      </c>
      <c r="E31" s="26" t="n">
        <f aca="false">(C15-C16)*(1-C17)</f>
        <v>1572450</v>
      </c>
      <c r="F31" s="10"/>
    </row>
    <row r="32" customFormat="false" ht="15" hidden="false" customHeight="false" outlineLevel="0" collapsed="false">
      <c r="A32" s="41" t="s">
        <v>386</v>
      </c>
      <c r="B32" s="41"/>
      <c r="C32" s="67" t="n">
        <f aca="false">C29+C30+C31</f>
        <v>120000</v>
      </c>
      <c r="D32" s="67" t="n">
        <f aca="false">D29+D30+D31</f>
        <v>1692450</v>
      </c>
      <c r="E32" s="67" t="n">
        <f aca="false">E29+E30+E31</f>
        <v>1692450</v>
      </c>
      <c r="F32" s="41"/>
    </row>
    <row r="33" customFormat="false" ht="15" hidden="false" customHeight="false" outlineLevel="0" collapsed="false">
      <c r="A33" s="68" t="s">
        <v>689</v>
      </c>
      <c r="B33" s="69"/>
      <c r="C33" s="70" t="n">
        <f aca="false">C26-C27-C28-C32</f>
        <v>0</v>
      </c>
      <c r="D33" s="70" t="n">
        <f aca="false">D26-D27-D28-D32</f>
        <v>0</v>
      </c>
      <c r="E33" s="70" t="n">
        <f aca="false">E26-E27-E28-E32</f>
        <v>0</v>
      </c>
      <c r="F33" s="69"/>
    </row>
    <row r="35" customFormat="false" ht="15" hidden="false" customHeight="false" outlineLevel="0" collapsed="false">
      <c r="A35" s="3" t="s">
        <v>772</v>
      </c>
      <c r="B35" s="3"/>
      <c r="C35" s="3"/>
      <c r="D35" s="3"/>
      <c r="E35" s="3"/>
      <c r="F35" s="3"/>
    </row>
    <row r="36" customFormat="false" ht="30" hidden="false" customHeight="true" outlineLevel="0" collapsed="false">
      <c r="A36" s="9" t="s">
        <v>349</v>
      </c>
      <c r="B36" s="9" t="s">
        <v>595</v>
      </c>
      <c r="C36" s="9" t="s">
        <v>351</v>
      </c>
      <c r="D36" s="9"/>
      <c r="E36" s="9"/>
      <c r="F36" s="9"/>
    </row>
    <row r="37" customFormat="false" ht="15" hidden="false" customHeight="false" outlineLevel="0" collapsed="false">
      <c r="A37" s="10" t="s">
        <v>773</v>
      </c>
      <c r="B37" s="10" t="s">
        <v>774</v>
      </c>
      <c r="C37" s="26" t="n">
        <f aca="false">C15</f>
        <v>3406000</v>
      </c>
      <c r="D37" s="10"/>
      <c r="E37" s="10"/>
      <c r="F37" s="10"/>
    </row>
    <row r="38" customFormat="false" ht="15" hidden="false" customHeight="false" outlineLevel="0" collapsed="false">
      <c r="A38" s="10" t="s">
        <v>775</v>
      </c>
      <c r="B38" s="10" t="s">
        <v>748</v>
      </c>
      <c r="C38" s="26" t="n">
        <f aca="false">-C16</f>
        <v>-1500000</v>
      </c>
      <c r="D38" s="10"/>
      <c r="E38" s="10"/>
      <c r="F38" s="10"/>
    </row>
    <row r="39" customFormat="false" ht="15" hidden="false" customHeight="false" outlineLevel="0" collapsed="false">
      <c r="A39" s="41" t="s">
        <v>776</v>
      </c>
      <c r="B39" s="41"/>
      <c r="C39" s="74" t="n">
        <f aca="false">C37+C38</f>
        <v>1906000</v>
      </c>
      <c r="D39" s="41"/>
      <c r="E39" s="41"/>
      <c r="F39" s="41"/>
    </row>
    <row r="40" customFormat="false" ht="15" hidden="false" customHeight="false" outlineLevel="0" collapsed="false">
      <c r="A40" s="10" t="s">
        <v>777</v>
      </c>
      <c r="B40" s="10" t="s">
        <v>778</v>
      </c>
      <c r="C40" s="26" t="n">
        <f aca="false">-C39*C17</f>
        <v>-333550</v>
      </c>
      <c r="D40" s="10"/>
      <c r="E40" s="10"/>
      <c r="F40" s="10"/>
    </row>
    <row r="41" customFormat="false" ht="15" hidden="false" customHeight="false" outlineLevel="0" collapsed="false">
      <c r="A41" s="41" t="s">
        <v>779</v>
      </c>
      <c r="B41" s="41"/>
      <c r="C41" s="74" t="n">
        <f aca="false">C39+C40</f>
        <v>1572450</v>
      </c>
      <c r="D41" s="41"/>
      <c r="E41" s="41"/>
      <c r="F41" s="41"/>
    </row>
    <row r="43" customFormat="false" ht="15" hidden="false" customHeight="false" outlineLevel="0" collapsed="false">
      <c r="A43" s="3" t="s">
        <v>780</v>
      </c>
      <c r="B43" s="3"/>
      <c r="C43" s="3"/>
      <c r="D43" s="3"/>
      <c r="E43" s="3"/>
      <c r="F43" s="3"/>
    </row>
    <row r="44" customFormat="false" ht="30" hidden="false" customHeight="true" outlineLevel="0" collapsed="false">
      <c r="A44" s="9" t="s">
        <v>781</v>
      </c>
      <c r="B44" s="9" t="s">
        <v>782</v>
      </c>
      <c r="C44" s="9" t="s">
        <v>783</v>
      </c>
      <c r="D44" s="9" t="s">
        <v>777</v>
      </c>
      <c r="E44" s="9"/>
      <c r="F44" s="9"/>
    </row>
    <row r="45" customFormat="false" ht="23.85" hidden="false" customHeight="false" outlineLevel="0" collapsed="false">
      <c r="A45" s="10" t="s">
        <v>784</v>
      </c>
      <c r="B45" s="10" t="s">
        <v>785</v>
      </c>
      <c r="C45" s="35" t="n">
        <f aca="false">C15-C16</f>
        <v>1906000</v>
      </c>
      <c r="D45" s="35" t="n">
        <f aca="false">(C15-C16)*C17</f>
        <v>333550</v>
      </c>
      <c r="E45" s="10"/>
      <c r="F45" s="10"/>
    </row>
    <row r="46" customFormat="false" ht="23.85" hidden="false" customHeight="false" outlineLevel="0" collapsed="false">
      <c r="A46" s="10" t="s">
        <v>786</v>
      </c>
      <c r="B46" s="10" t="s">
        <v>787</v>
      </c>
      <c r="C46" s="35" t="n">
        <f aca="false">C15</f>
        <v>3406000</v>
      </c>
      <c r="D46" s="35" t="n">
        <f aca="false">C15*C17</f>
        <v>596050</v>
      </c>
      <c r="E46" s="10"/>
      <c r="F46" s="10"/>
    </row>
    <row r="47" customFormat="false" ht="15" hidden="false" customHeight="false" outlineLevel="0" collapsed="false">
      <c r="A47" s="75" t="s">
        <v>788</v>
      </c>
      <c r="B47" s="58"/>
      <c r="C47" s="58"/>
      <c r="D47" s="60" t="n">
        <f aca="false">D46-D45</f>
        <v>262500</v>
      </c>
      <c r="E47" s="58"/>
      <c r="F47" s="58"/>
    </row>
    <row r="49" customFormat="false" ht="15" hidden="false" customHeight="false" outlineLevel="0" collapsed="false">
      <c r="A49" s="3" t="s">
        <v>789</v>
      </c>
      <c r="B49" s="3"/>
      <c r="C49" s="3"/>
      <c r="D49" s="3"/>
      <c r="E49" s="3"/>
      <c r="F49" s="3"/>
    </row>
    <row r="50" customFormat="false" ht="30" hidden="false" customHeight="true" outlineLevel="0" collapsed="false">
      <c r="A50" s="9" t="s">
        <v>349</v>
      </c>
      <c r="B50" s="9" t="s">
        <v>595</v>
      </c>
      <c r="C50" s="9" t="s">
        <v>351</v>
      </c>
      <c r="D50" s="9"/>
      <c r="E50" s="9"/>
      <c r="F50" s="9"/>
    </row>
    <row r="51" customFormat="false" ht="15" hidden="false" customHeight="false" outlineLevel="0" collapsed="false">
      <c r="A51" s="10" t="s">
        <v>790</v>
      </c>
      <c r="B51" s="10" t="s">
        <v>791</v>
      </c>
      <c r="C51" s="26" t="n">
        <f aca="false">C41</f>
        <v>1572450</v>
      </c>
      <c r="D51" s="10"/>
      <c r="E51" s="10"/>
      <c r="F51" s="10"/>
    </row>
    <row r="52" customFormat="false" ht="23.85" hidden="false" customHeight="false" outlineLevel="0" collapsed="false">
      <c r="A52" s="10" t="s">
        <v>792</v>
      </c>
      <c r="B52" s="10" t="s">
        <v>793</v>
      </c>
      <c r="C52" s="26" t="n">
        <f aca="false">0</f>
        <v>0</v>
      </c>
      <c r="D52" s="10"/>
      <c r="E52" s="10"/>
      <c r="F52" s="10"/>
    </row>
    <row r="53" customFormat="false" ht="15" hidden="false" customHeight="false" outlineLevel="0" collapsed="false">
      <c r="A53" s="10" t="s">
        <v>794</v>
      </c>
      <c r="B53" s="10" t="s">
        <v>795</v>
      </c>
      <c r="C53" s="26" t="n">
        <f aca="false">(C15-C16)*C17</f>
        <v>333550</v>
      </c>
      <c r="D53" s="10"/>
      <c r="E53" s="10"/>
      <c r="F53" s="10"/>
    </row>
    <row r="54" customFormat="false" ht="15" hidden="false" customHeight="false" outlineLevel="0" collapsed="false">
      <c r="A54" s="10" t="s">
        <v>738</v>
      </c>
      <c r="B54" s="10" t="s">
        <v>796</v>
      </c>
      <c r="C54" s="26" t="n">
        <f aca="false">C11</f>
        <v>50000</v>
      </c>
      <c r="D54" s="10"/>
      <c r="E54" s="10"/>
      <c r="F54" s="10"/>
    </row>
    <row r="55" customFormat="false" ht="23.85" hidden="false" customHeight="false" outlineLevel="0" collapsed="false">
      <c r="A55" s="76" t="s">
        <v>797</v>
      </c>
      <c r="B55" s="76" t="s">
        <v>798</v>
      </c>
      <c r="C55" s="77" t="n">
        <f aca="false">MAX(0,C53-C54)</f>
        <v>283550</v>
      </c>
      <c r="D55" s="76"/>
      <c r="E55" s="76"/>
      <c r="F55" s="76"/>
    </row>
    <row r="57" customFormat="false" ht="78" hidden="false" customHeight="true" outlineLevel="0" collapsed="false">
      <c r="A57" s="36" t="s">
        <v>799</v>
      </c>
      <c r="B57" s="36"/>
      <c r="C57" s="36"/>
      <c r="D57" s="36"/>
      <c r="E57" s="36"/>
      <c r="F57" s="36"/>
    </row>
    <row r="59" customFormat="false" ht="15" hidden="false" customHeight="false" outlineLevel="0" collapsed="false">
      <c r="A59" s="3" t="s">
        <v>800</v>
      </c>
      <c r="B59" s="3"/>
      <c r="C59" s="3"/>
      <c r="D59" s="3"/>
      <c r="E59" s="3"/>
      <c r="F59" s="3"/>
    </row>
    <row r="60" customFormat="false" ht="30" hidden="false" customHeight="true" outlineLevel="0" collapsed="false">
      <c r="A60" s="9" t="s">
        <v>712</v>
      </c>
      <c r="B60" s="9" t="s">
        <v>290</v>
      </c>
      <c r="C60" s="9" t="s">
        <v>291</v>
      </c>
      <c r="D60" s="9" t="s">
        <v>713</v>
      </c>
      <c r="E60" s="9" t="s">
        <v>595</v>
      </c>
      <c r="F60" s="9"/>
    </row>
    <row r="61" customFormat="false" ht="35.05" hidden="false" customHeight="true" outlineLevel="0" collapsed="false">
      <c r="A61" s="10" t="s">
        <v>801</v>
      </c>
      <c r="B61" s="10" t="s">
        <v>802</v>
      </c>
      <c r="C61" s="10" t="s">
        <v>803</v>
      </c>
      <c r="D61" s="10" t="s">
        <v>804</v>
      </c>
      <c r="E61" s="10" t="s">
        <v>805</v>
      </c>
      <c r="F61" s="10"/>
    </row>
    <row r="62" customFormat="false" ht="23.85" hidden="false" customHeight="true" outlineLevel="0" collapsed="false">
      <c r="A62" s="10" t="s">
        <v>748</v>
      </c>
      <c r="B62" s="10" t="s">
        <v>806</v>
      </c>
      <c r="C62" s="10" t="s">
        <v>807</v>
      </c>
      <c r="D62" s="10" t="s">
        <v>808</v>
      </c>
      <c r="E62" s="10" t="s">
        <v>809</v>
      </c>
      <c r="F62" s="10"/>
    </row>
    <row r="63" customFormat="false" ht="23.85" hidden="false" customHeight="true" outlineLevel="0" collapsed="false">
      <c r="A63" s="10" t="s">
        <v>810</v>
      </c>
      <c r="B63" s="10" t="s">
        <v>811</v>
      </c>
      <c r="C63" s="10" t="s">
        <v>812</v>
      </c>
      <c r="D63" s="10" t="s">
        <v>813</v>
      </c>
      <c r="E63" s="10" t="s">
        <v>814</v>
      </c>
      <c r="F63" s="10"/>
    </row>
    <row r="64" customFormat="false" ht="23.85" hidden="false" customHeight="true" outlineLevel="0" collapsed="false">
      <c r="A64" s="10" t="s">
        <v>815</v>
      </c>
      <c r="B64" s="10" t="s">
        <v>816</v>
      </c>
      <c r="C64" s="10" t="s">
        <v>802</v>
      </c>
      <c r="D64" s="10" t="s">
        <v>817</v>
      </c>
      <c r="E64" s="10" t="s">
        <v>818</v>
      </c>
      <c r="F64" s="10"/>
    </row>
    <row r="66" customFormat="false" ht="15" hidden="false" customHeight="false" outlineLevel="0" collapsed="false">
      <c r="A66" s="3" t="s">
        <v>819</v>
      </c>
      <c r="B66" s="3"/>
      <c r="C66" s="3"/>
      <c r="D66" s="3"/>
      <c r="E66" s="3"/>
      <c r="F66" s="3"/>
    </row>
    <row r="67" customFormat="false" ht="30" hidden="false" customHeight="true" outlineLevel="0" collapsed="false">
      <c r="A67" s="9" t="s">
        <v>349</v>
      </c>
      <c r="B67" s="9" t="s">
        <v>595</v>
      </c>
      <c r="C67" s="9" t="s">
        <v>351</v>
      </c>
      <c r="D67" s="9"/>
      <c r="E67" s="9"/>
      <c r="F67" s="9"/>
    </row>
    <row r="68" customFormat="false" ht="15" hidden="false" customHeight="false" outlineLevel="0" collapsed="false">
      <c r="A68" s="10" t="s">
        <v>820</v>
      </c>
      <c r="B68" s="10" t="s">
        <v>821</v>
      </c>
      <c r="C68" s="78" t="n">
        <f aca="false">E25</f>
        <v>3506000</v>
      </c>
      <c r="D68" s="10"/>
      <c r="E68" s="10"/>
      <c r="F68" s="10"/>
    </row>
    <row r="69" customFormat="false" ht="15" hidden="false" customHeight="false" outlineLevel="0" collapsed="false">
      <c r="A69" s="10" t="s">
        <v>822</v>
      </c>
      <c r="B69" s="10" t="s">
        <v>823</v>
      </c>
      <c r="C69" s="78" t="n">
        <f aca="false">10_EK_Sim_Tetris!D39</f>
        <v>3468653.65</v>
      </c>
      <c r="D69" s="10"/>
      <c r="E69" s="10"/>
      <c r="F69" s="10"/>
    </row>
    <row r="70" customFormat="false" ht="15" hidden="false" customHeight="false" outlineLevel="0" collapsed="false">
      <c r="A70" s="41" t="s">
        <v>824</v>
      </c>
      <c r="B70" s="41" t="s">
        <v>825</v>
      </c>
      <c r="C70" s="74" t="n">
        <f aca="false">C68*-1+C69</f>
        <v>-37346.3500000001</v>
      </c>
      <c r="D70" s="41"/>
      <c r="E70" s="41"/>
      <c r="F70" s="41"/>
    </row>
    <row r="72" customFormat="false" ht="103.5" hidden="false" customHeight="true" outlineLevel="0" collapsed="false">
      <c r="A72" s="7" t="s">
        <v>826</v>
      </c>
      <c r="B72" s="7"/>
      <c r="C72" s="7"/>
      <c r="D72" s="7"/>
      <c r="E72" s="7"/>
      <c r="F72" s="7"/>
    </row>
  </sheetData>
  <mergeCells count="16">
    <mergeCell ref="A2:F2"/>
    <mergeCell ref="A3:F3"/>
    <mergeCell ref="A5:F5"/>
    <mergeCell ref="A7:F7"/>
    <mergeCell ref="A20:F20"/>
    <mergeCell ref="A35:F35"/>
    <mergeCell ref="A43:F43"/>
    <mergeCell ref="A49:F49"/>
    <mergeCell ref="A57:F57"/>
    <mergeCell ref="A59:F59"/>
    <mergeCell ref="E61:F61"/>
    <mergeCell ref="E62:F62"/>
    <mergeCell ref="E63:F63"/>
    <mergeCell ref="E64:F64"/>
    <mergeCell ref="A66:F66"/>
    <mergeCell ref="A72:F7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E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40"/>
    <col collapsed="false" customWidth="true" hidden="false" outlineLevel="0" max="3" min="3" style="0" width="18"/>
    <col collapsed="false" customWidth="true" hidden="false" outlineLevel="0" max="4" min="4" style="0" width="74"/>
    <col collapsed="false" customWidth="true" hidden="false" outlineLevel="0" max="5" min="5" style="0" width="20"/>
  </cols>
  <sheetData>
    <row r="2" customFormat="false" ht="24" hidden="false" customHeight="true" outlineLevel="0" collapsed="false">
      <c r="A2" s="1" t="s">
        <v>827</v>
      </c>
      <c r="B2" s="1"/>
      <c r="C2" s="1"/>
      <c r="D2" s="1"/>
      <c r="E2" s="1"/>
    </row>
    <row r="3" customFormat="false" ht="39" hidden="false" customHeight="true" outlineLevel="0" collapsed="false">
      <c r="A3" s="6" t="s">
        <v>828</v>
      </c>
      <c r="B3" s="6"/>
      <c r="C3" s="6"/>
      <c r="D3" s="6"/>
      <c r="E3" s="6"/>
    </row>
    <row r="5" customFormat="false" ht="30" hidden="false" customHeight="true" outlineLevel="0" collapsed="false">
      <c r="A5" s="9" t="s">
        <v>616</v>
      </c>
      <c r="B5" s="9" t="s">
        <v>829</v>
      </c>
      <c r="C5" s="9" t="s">
        <v>830</v>
      </c>
      <c r="D5" s="9" t="s">
        <v>53</v>
      </c>
      <c r="E5" s="9" t="s">
        <v>831</v>
      </c>
    </row>
    <row r="6" customFormat="false" ht="35.05" hidden="false" customHeight="false" outlineLevel="0" collapsed="false">
      <c r="A6" s="10" t="s">
        <v>434</v>
      </c>
      <c r="B6" s="10" t="s">
        <v>832</v>
      </c>
      <c r="C6" s="10" t="s">
        <v>833</v>
      </c>
      <c r="D6" s="10" t="s">
        <v>834</v>
      </c>
      <c r="E6" s="10" t="s">
        <v>835</v>
      </c>
    </row>
    <row r="7" customFormat="false" ht="46.25" hidden="false" customHeight="false" outlineLevel="0" collapsed="false">
      <c r="A7" s="10" t="s">
        <v>438</v>
      </c>
      <c r="B7" s="10" t="s">
        <v>836</v>
      </c>
      <c r="C7" s="10" t="s">
        <v>57</v>
      </c>
      <c r="D7" s="10" t="s">
        <v>837</v>
      </c>
      <c r="E7" s="10" t="s">
        <v>838</v>
      </c>
    </row>
    <row r="8" customFormat="false" ht="35.05" hidden="false" customHeight="false" outlineLevel="0" collapsed="false">
      <c r="A8" s="10" t="s">
        <v>442</v>
      </c>
      <c r="B8" s="10" t="s">
        <v>839</v>
      </c>
      <c r="C8" s="10" t="s">
        <v>15</v>
      </c>
      <c r="D8" s="10" t="s">
        <v>840</v>
      </c>
      <c r="E8" s="10" t="s">
        <v>841</v>
      </c>
    </row>
    <row r="9" customFormat="false" ht="35.05" hidden="false" customHeight="false" outlineLevel="0" collapsed="false">
      <c r="A9" s="16" t="s">
        <v>446</v>
      </c>
      <c r="B9" s="16" t="s">
        <v>842</v>
      </c>
      <c r="C9" s="16" t="s">
        <v>843</v>
      </c>
      <c r="D9" s="16" t="s">
        <v>844</v>
      </c>
      <c r="E9" s="16" t="s">
        <v>842</v>
      </c>
    </row>
    <row r="10" customFormat="false" ht="23.85" hidden="false" customHeight="false" outlineLevel="0" collapsed="false">
      <c r="A10" s="10" t="s">
        <v>450</v>
      </c>
      <c r="B10" s="10" t="s">
        <v>845</v>
      </c>
      <c r="C10" s="10" t="s">
        <v>846</v>
      </c>
      <c r="D10" s="10" t="s">
        <v>847</v>
      </c>
      <c r="E10" s="10" t="s">
        <v>848</v>
      </c>
    </row>
    <row r="11" customFormat="false" ht="23.85" hidden="false" customHeight="false" outlineLevel="0" collapsed="false">
      <c r="A11" s="10" t="s">
        <v>454</v>
      </c>
      <c r="B11" s="10" t="s">
        <v>849</v>
      </c>
      <c r="C11" s="10" t="s">
        <v>850</v>
      </c>
      <c r="D11" s="10" t="s">
        <v>851</v>
      </c>
      <c r="E11" s="10" t="s">
        <v>852</v>
      </c>
    </row>
    <row r="12" customFormat="false" ht="23.85" hidden="false" customHeight="false" outlineLevel="0" collapsed="false">
      <c r="A12" s="10" t="s">
        <v>458</v>
      </c>
      <c r="B12" s="10" t="s">
        <v>853</v>
      </c>
      <c r="C12" s="10" t="s">
        <v>15</v>
      </c>
      <c r="D12" s="10" t="s">
        <v>854</v>
      </c>
      <c r="E12" s="10" t="s">
        <v>855</v>
      </c>
    </row>
    <row r="13" customFormat="false" ht="23.85" hidden="false" customHeight="false" outlineLevel="0" collapsed="false">
      <c r="A13" s="16" t="s">
        <v>461</v>
      </c>
      <c r="B13" s="16" t="s">
        <v>856</v>
      </c>
      <c r="C13" s="16" t="s">
        <v>857</v>
      </c>
      <c r="D13" s="16" t="s">
        <v>858</v>
      </c>
      <c r="E13" s="16" t="s">
        <v>859</v>
      </c>
    </row>
    <row r="14" customFormat="false" ht="57.45" hidden="false" customHeight="false" outlineLevel="0" collapsed="false">
      <c r="A14" s="16" t="s">
        <v>464</v>
      </c>
      <c r="B14" s="16" t="s">
        <v>860</v>
      </c>
      <c r="C14" s="16" t="s">
        <v>57</v>
      </c>
      <c r="D14" s="16" t="s">
        <v>861</v>
      </c>
      <c r="E14" s="16" t="s">
        <v>862</v>
      </c>
    </row>
    <row r="16" customFormat="false" ht="15" hidden="false" customHeight="false" outlineLevel="0" collapsed="false">
      <c r="A16" s="3" t="s">
        <v>863</v>
      </c>
      <c r="B16" s="3"/>
      <c r="C16" s="3"/>
      <c r="D16" s="3"/>
      <c r="E16" s="3"/>
    </row>
    <row r="17" customFormat="false" ht="30" hidden="false" customHeight="true" outlineLevel="0" collapsed="false">
      <c r="A17" s="9" t="s">
        <v>349</v>
      </c>
      <c r="B17" s="9" t="s">
        <v>507</v>
      </c>
      <c r="C17" s="9" t="s">
        <v>292</v>
      </c>
      <c r="D17" s="9" t="s">
        <v>595</v>
      </c>
      <c r="E17" s="9"/>
    </row>
    <row r="18" customFormat="false" ht="23.85" hidden="false" customHeight="false" outlineLevel="0" collapsed="false">
      <c r="A18" s="10" t="s">
        <v>670</v>
      </c>
      <c r="B18" s="10" t="s">
        <v>864</v>
      </c>
      <c r="C18" s="17" t="n">
        <v>25060</v>
      </c>
      <c r="D18" s="10" t="s">
        <v>865</v>
      </c>
      <c r="E18" s="10"/>
    </row>
    <row r="19" customFormat="false" ht="15" hidden="false" customHeight="false" outlineLevel="0" collapsed="false">
      <c r="A19" s="10" t="s">
        <v>866</v>
      </c>
      <c r="B19" s="10" t="s">
        <v>867</v>
      </c>
      <c r="C19" s="17" t="n">
        <v>4000</v>
      </c>
      <c r="D19" s="10" t="s">
        <v>868</v>
      </c>
      <c r="E19" s="10"/>
    </row>
    <row r="20" customFormat="false" ht="15" hidden="false" customHeight="false" outlineLevel="0" collapsed="false">
      <c r="A20" s="10" t="s">
        <v>869</v>
      </c>
      <c r="B20" s="10" t="s">
        <v>870</v>
      </c>
      <c r="C20" s="17" t="n">
        <v>800</v>
      </c>
      <c r="D20" s="10" t="s">
        <v>871</v>
      </c>
      <c r="E20" s="10"/>
    </row>
    <row r="21" customFormat="false" ht="15" hidden="false" customHeight="false" outlineLevel="0" collapsed="false">
      <c r="A21" s="10" t="s">
        <v>842</v>
      </c>
      <c r="B21" s="10" t="s">
        <v>872</v>
      </c>
      <c r="C21" s="17" t="n">
        <v>5000</v>
      </c>
      <c r="D21" s="10" t="s">
        <v>873</v>
      </c>
      <c r="E21" s="10"/>
    </row>
    <row r="22" customFormat="false" ht="15" hidden="false" customHeight="false" outlineLevel="0" collapsed="false">
      <c r="A22" s="10" t="s">
        <v>874</v>
      </c>
      <c r="B22" s="10" t="s">
        <v>875</v>
      </c>
      <c r="C22" s="17" t="n">
        <v>2200</v>
      </c>
      <c r="D22" s="10" t="s">
        <v>876</v>
      </c>
      <c r="E22" s="10"/>
    </row>
    <row r="23" customFormat="false" ht="15" hidden="false" customHeight="false" outlineLevel="0" collapsed="false">
      <c r="A23" s="47" t="s">
        <v>877</v>
      </c>
      <c r="B23" s="37"/>
      <c r="C23" s="39" t="n">
        <f aca="false">SUM(C18:C22)</f>
        <v>37060</v>
      </c>
      <c r="D23" s="37"/>
      <c r="E23" s="37"/>
    </row>
    <row r="25" customFormat="false" ht="51.75" hidden="false" customHeight="true" outlineLevel="0" collapsed="false">
      <c r="A25" s="7" t="s">
        <v>878</v>
      </c>
      <c r="B25" s="7"/>
      <c r="C25" s="7"/>
      <c r="D25" s="7"/>
      <c r="E25" s="7"/>
    </row>
  </sheetData>
  <mergeCells count="4">
    <mergeCell ref="A2:E2"/>
    <mergeCell ref="A3:E3"/>
    <mergeCell ref="A16:E16"/>
    <mergeCell ref="A25:E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D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8"/>
    <col collapsed="false" customWidth="true" hidden="false" outlineLevel="0" max="2" min="2" style="0" width="20"/>
    <col collapsed="false" customWidth="true" hidden="false" outlineLevel="0" max="3" min="3" style="0" width="12"/>
    <col collapsed="false" customWidth="true" hidden="false" outlineLevel="0" max="4" min="4" style="0" width="20"/>
  </cols>
  <sheetData>
    <row r="2" customFormat="false" ht="24" hidden="false" customHeight="true" outlineLevel="0" collapsed="false">
      <c r="A2" s="1" t="s">
        <v>879</v>
      </c>
      <c r="B2" s="1"/>
      <c r="C2" s="1"/>
      <c r="D2" s="1"/>
    </row>
    <row r="3" customFormat="false" ht="30" hidden="false" customHeight="true" outlineLevel="0" collapsed="false">
      <c r="A3" s="9" t="s">
        <v>294</v>
      </c>
      <c r="B3" s="9" t="s">
        <v>349</v>
      </c>
      <c r="C3" s="9" t="s">
        <v>351</v>
      </c>
      <c r="D3" s="9" t="s">
        <v>595</v>
      </c>
    </row>
    <row r="4" customFormat="false" ht="35.05" hidden="false" customHeight="false" outlineLevel="0" collapsed="false">
      <c r="A4" s="10" t="s">
        <v>880</v>
      </c>
      <c r="B4" s="10" t="s">
        <v>881</v>
      </c>
      <c r="C4" s="26" t="n">
        <f aca="false">07_Kaufpreis_Land!H9</f>
        <v>4862505</v>
      </c>
      <c r="D4" s="10" t="s">
        <v>882</v>
      </c>
    </row>
    <row r="5" customFormat="false" ht="35.05" hidden="false" customHeight="false" outlineLevel="0" collapsed="false">
      <c r="A5" s="10" t="s">
        <v>880</v>
      </c>
      <c r="B5" s="10" t="s">
        <v>883</v>
      </c>
      <c r="C5" s="26" t="n">
        <f aca="false">2649.75</f>
        <v>2649.75</v>
      </c>
      <c r="D5" s="10" t="s">
        <v>884</v>
      </c>
    </row>
    <row r="6" customFormat="false" ht="35.05" hidden="false" customHeight="false" outlineLevel="0" collapsed="false">
      <c r="A6" s="10" t="s">
        <v>885</v>
      </c>
      <c r="B6" s="10" t="s">
        <v>886</v>
      </c>
      <c r="C6" s="26" t="n">
        <f aca="false">3406000</f>
        <v>3406000</v>
      </c>
      <c r="D6" s="10" t="s">
        <v>746</v>
      </c>
    </row>
    <row r="7" customFormat="false" ht="35.05" hidden="false" customHeight="false" outlineLevel="0" collapsed="false">
      <c r="A7" s="10" t="s">
        <v>887</v>
      </c>
      <c r="B7" s="10" t="s">
        <v>888</v>
      </c>
      <c r="C7" s="26" t="n">
        <f aca="false">1960000</f>
        <v>1960000</v>
      </c>
      <c r="D7" s="10" t="s">
        <v>889</v>
      </c>
    </row>
    <row r="8" customFormat="false" ht="35.05" hidden="false" customHeight="false" outlineLevel="0" collapsed="false">
      <c r="A8" s="10" t="s">
        <v>887</v>
      </c>
      <c r="B8" s="10" t="s">
        <v>890</v>
      </c>
      <c r="C8" s="26" t="n">
        <f aca="false">45000</f>
        <v>45000</v>
      </c>
      <c r="D8" s="10" t="s">
        <v>250</v>
      </c>
    </row>
    <row r="9" customFormat="false" ht="35.05" hidden="false" customHeight="false" outlineLevel="0" collapsed="false">
      <c r="A9" s="10" t="s">
        <v>891</v>
      </c>
      <c r="B9" s="10" t="s">
        <v>892</v>
      </c>
      <c r="C9" s="26" t="n">
        <f aca="false">06_BKP_Kostentraeger!C31</f>
        <v>30400954</v>
      </c>
      <c r="D9" s="10" t="s">
        <v>893</v>
      </c>
    </row>
    <row r="10" customFormat="false" ht="15" hidden="false" customHeight="false" outlineLevel="0" collapsed="false">
      <c r="A10" s="37"/>
      <c r="B10" s="47" t="s">
        <v>894</v>
      </c>
      <c r="C10" s="39" t="n">
        <f aca="false">SUM(C4:C9)</f>
        <v>40677108.75</v>
      </c>
      <c r="D10" s="37"/>
    </row>
    <row r="12" customFormat="false" ht="15" hidden="false" customHeight="false" outlineLevel="0" collapsed="false">
      <c r="A12" s="3" t="s">
        <v>895</v>
      </c>
      <c r="B12" s="3"/>
      <c r="C12" s="3"/>
      <c r="D12" s="3"/>
    </row>
    <row r="13" customFormat="false" ht="30" hidden="false" customHeight="true" outlineLevel="0" collapsed="false">
      <c r="A13" s="9" t="s">
        <v>349</v>
      </c>
      <c r="B13" s="9" t="s">
        <v>896</v>
      </c>
      <c r="C13" s="9" t="s">
        <v>897</v>
      </c>
      <c r="D13" s="9" t="s">
        <v>898</v>
      </c>
    </row>
    <row r="14" customFormat="false" ht="15" hidden="false" customHeight="false" outlineLevel="0" collapsed="false">
      <c r="A14" s="10" t="s">
        <v>899</v>
      </c>
      <c r="B14" s="26" t="n">
        <f aca="false">1960000+45000</f>
        <v>2005000</v>
      </c>
      <c r="C14" s="57" t="n">
        <v>0.081</v>
      </c>
      <c r="D14" s="55" t="n">
        <f aca="false">B14*C14</f>
        <v>162405</v>
      </c>
    </row>
    <row r="15" customFormat="false" ht="23.85" hidden="false" customHeight="false" outlineLevel="0" collapsed="false">
      <c r="A15" s="10" t="s">
        <v>900</v>
      </c>
      <c r="B15" s="26" t="n">
        <f aca="false">3406000</f>
        <v>3406000</v>
      </c>
      <c r="C15" s="57" t="n">
        <v>0.081</v>
      </c>
      <c r="D15" s="55" t="n">
        <f aca="false">B15*C15</f>
        <v>275886</v>
      </c>
    </row>
    <row r="16" customFormat="false" ht="15" hidden="false" customHeight="false" outlineLevel="0" collapsed="false">
      <c r="A16" s="10" t="s">
        <v>892</v>
      </c>
      <c r="B16" s="26" t="n">
        <f aca="false">06_BKP_Kostentraeger!C31</f>
        <v>30400954</v>
      </c>
      <c r="C16" s="57" t="n">
        <v>0.081</v>
      </c>
      <c r="D16" s="55" t="n">
        <f aca="false">B16*C16</f>
        <v>2462477.274</v>
      </c>
    </row>
    <row r="17" customFormat="false" ht="15" hidden="false" customHeight="false" outlineLevel="0" collapsed="false">
      <c r="A17" s="79" t="s">
        <v>901</v>
      </c>
      <c r="B17" s="80"/>
      <c r="C17" s="80"/>
      <c r="D17" s="81" t="n">
        <f aca="false">SUM(D14:D16)</f>
        <v>2900768.274</v>
      </c>
    </row>
    <row r="19" customFormat="false" ht="129.75" hidden="false" customHeight="true" outlineLevel="0" collapsed="false">
      <c r="A19" s="36" t="s">
        <v>902</v>
      </c>
      <c r="B19" s="36"/>
      <c r="C19" s="36"/>
      <c r="D19" s="36"/>
    </row>
  </sheetData>
  <mergeCells count="3">
    <mergeCell ref="A2:D2"/>
    <mergeCell ref="A12:D12"/>
    <mergeCell ref="A19:D1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E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58"/>
    <col collapsed="false" customWidth="true" hidden="false" outlineLevel="0" max="3" min="3" style="0" width="16"/>
    <col collapsed="false" customWidth="true" hidden="false" outlineLevel="0" max="4" min="4" style="0" width="20"/>
    <col collapsed="false" customWidth="true" hidden="false" outlineLevel="0" max="5" min="5" style="0" width="80"/>
  </cols>
  <sheetData>
    <row r="2" customFormat="false" ht="24" hidden="false" customHeight="true" outlineLevel="0" collapsed="false">
      <c r="A2" s="1" t="s">
        <v>903</v>
      </c>
      <c r="B2" s="1"/>
      <c r="C2" s="1"/>
      <c r="D2" s="1"/>
      <c r="E2" s="1"/>
    </row>
    <row r="3" customFormat="false" ht="30" hidden="false" customHeight="true" outlineLevel="0" collapsed="false">
      <c r="A3" s="9" t="s">
        <v>286</v>
      </c>
      <c r="B3" s="9" t="s">
        <v>904</v>
      </c>
      <c r="C3" s="9" t="s">
        <v>287</v>
      </c>
      <c r="D3" s="9" t="s">
        <v>905</v>
      </c>
      <c r="E3" s="9" t="s">
        <v>906</v>
      </c>
    </row>
    <row r="4" customFormat="false" ht="15" hidden="false" customHeight="false" outlineLevel="0" collapsed="false">
      <c r="A4" s="10" t="s">
        <v>907</v>
      </c>
      <c r="B4" s="10" t="s">
        <v>908</v>
      </c>
      <c r="C4" s="10" t="s">
        <v>909</v>
      </c>
      <c r="D4" s="10" t="s">
        <v>910</v>
      </c>
      <c r="E4" s="10" t="s">
        <v>911</v>
      </c>
    </row>
    <row r="5" customFormat="false" ht="15" hidden="false" customHeight="false" outlineLevel="0" collapsed="false">
      <c r="A5" s="10" t="s">
        <v>912</v>
      </c>
      <c r="B5" s="10" t="s">
        <v>913</v>
      </c>
      <c r="C5" s="10" t="s">
        <v>914</v>
      </c>
      <c r="D5" s="10" t="s">
        <v>464</v>
      </c>
      <c r="E5" s="10" t="s">
        <v>915</v>
      </c>
    </row>
    <row r="6" customFormat="false" ht="15" hidden="false" customHeight="false" outlineLevel="0" collapsed="false">
      <c r="A6" s="10" t="s">
        <v>916</v>
      </c>
      <c r="B6" s="10" t="s">
        <v>917</v>
      </c>
      <c r="C6" s="10" t="s">
        <v>914</v>
      </c>
      <c r="D6" s="10" t="s">
        <v>918</v>
      </c>
      <c r="E6" s="10" t="s">
        <v>919</v>
      </c>
    </row>
    <row r="7" customFormat="false" ht="15" hidden="false" customHeight="false" outlineLevel="0" collapsed="false">
      <c r="A7" s="10" t="s">
        <v>920</v>
      </c>
      <c r="B7" s="10" t="s">
        <v>921</v>
      </c>
      <c r="C7" s="10" t="s">
        <v>922</v>
      </c>
      <c r="D7" s="10" t="s">
        <v>923</v>
      </c>
      <c r="E7" s="10" t="s">
        <v>924</v>
      </c>
    </row>
    <row r="8" customFormat="false" ht="15" hidden="false" customHeight="false" outlineLevel="0" collapsed="false">
      <c r="A8" s="10" t="s">
        <v>925</v>
      </c>
      <c r="B8" s="10" t="s">
        <v>926</v>
      </c>
      <c r="C8" s="10" t="s">
        <v>927</v>
      </c>
      <c r="D8" s="10" t="s">
        <v>299</v>
      </c>
      <c r="E8" s="10" t="s">
        <v>928</v>
      </c>
    </row>
    <row r="9" customFormat="false" ht="15" hidden="false" customHeight="false" outlineLevel="0" collapsed="false">
      <c r="A9" s="10" t="s">
        <v>929</v>
      </c>
      <c r="B9" s="10" t="s">
        <v>930</v>
      </c>
      <c r="C9" s="10" t="s">
        <v>931</v>
      </c>
      <c r="D9" s="10" t="s">
        <v>932</v>
      </c>
      <c r="E9" s="10" t="s">
        <v>933</v>
      </c>
    </row>
    <row r="10" customFormat="false" ht="15" hidden="false" customHeight="false" outlineLevel="0" collapsed="false">
      <c r="A10" s="10" t="s">
        <v>934</v>
      </c>
      <c r="B10" s="10" t="s">
        <v>590</v>
      </c>
      <c r="C10" s="10" t="s">
        <v>935</v>
      </c>
      <c r="D10" s="10" t="s">
        <v>936</v>
      </c>
      <c r="E10" s="10" t="s">
        <v>937</v>
      </c>
    </row>
    <row r="11" customFormat="false" ht="15" hidden="false" customHeight="false" outlineLevel="0" collapsed="false">
      <c r="A11" s="82" t="s">
        <v>938</v>
      </c>
      <c r="B11" s="82" t="s">
        <v>939</v>
      </c>
      <c r="C11" s="82" t="s">
        <v>940</v>
      </c>
      <c r="D11" s="82" t="s">
        <v>936</v>
      </c>
      <c r="E11" s="82" t="s">
        <v>941</v>
      </c>
    </row>
    <row r="12" customFormat="false" ht="23.85" hidden="false" customHeight="false" outlineLevel="0" collapsed="false">
      <c r="A12" s="82" t="s">
        <v>942</v>
      </c>
      <c r="B12" s="82" t="s">
        <v>943</v>
      </c>
      <c r="C12" s="82" t="s">
        <v>940</v>
      </c>
      <c r="D12" s="82" t="s">
        <v>483</v>
      </c>
      <c r="E12" s="82" t="s">
        <v>944</v>
      </c>
    </row>
    <row r="13" customFormat="false" ht="23.85" hidden="false" customHeight="false" outlineLevel="0" collapsed="false">
      <c r="A13" s="82" t="s">
        <v>945</v>
      </c>
      <c r="B13" s="82" t="s">
        <v>946</v>
      </c>
      <c r="C13" s="82" t="s">
        <v>940</v>
      </c>
      <c r="D13" s="82" t="s">
        <v>299</v>
      </c>
      <c r="E13" s="82" t="s">
        <v>947</v>
      </c>
    </row>
    <row r="14" customFormat="false" ht="15" hidden="false" customHeight="false" outlineLevel="0" collapsed="false">
      <c r="A14" s="82" t="s">
        <v>948</v>
      </c>
      <c r="B14" s="82" t="s">
        <v>949</v>
      </c>
      <c r="C14" s="82" t="s">
        <v>940</v>
      </c>
      <c r="D14" s="82" t="s">
        <v>950</v>
      </c>
      <c r="E14" s="82" t="s">
        <v>951</v>
      </c>
    </row>
    <row r="15" customFormat="false" ht="15" hidden="false" customHeight="false" outlineLevel="0" collapsed="false">
      <c r="A15" s="82" t="s">
        <v>952</v>
      </c>
      <c r="B15" s="82" t="s">
        <v>953</v>
      </c>
      <c r="C15" s="82" t="s">
        <v>940</v>
      </c>
      <c r="D15" s="82" t="s">
        <v>299</v>
      </c>
      <c r="E15" s="82" t="s">
        <v>954</v>
      </c>
    </row>
    <row r="16" customFormat="false" ht="15" hidden="false" customHeight="false" outlineLevel="0" collapsed="false">
      <c r="A16" s="82" t="s">
        <v>955</v>
      </c>
      <c r="B16" s="82" t="s">
        <v>956</v>
      </c>
      <c r="C16" s="82" t="s">
        <v>940</v>
      </c>
      <c r="D16" s="82" t="s">
        <v>299</v>
      </c>
      <c r="E16" s="82" t="s">
        <v>957</v>
      </c>
    </row>
    <row r="17" customFormat="false" ht="15" hidden="false" customHeight="false" outlineLevel="0" collapsed="false">
      <c r="A17" s="10" t="s">
        <v>958</v>
      </c>
      <c r="B17" s="10" t="s">
        <v>319</v>
      </c>
      <c r="C17" s="10" t="s">
        <v>959</v>
      </c>
      <c r="D17" s="10" t="s">
        <v>458</v>
      </c>
      <c r="E17" s="10" t="s">
        <v>960</v>
      </c>
    </row>
    <row r="19" customFormat="false" ht="25.5" hidden="false" customHeight="true" outlineLevel="0" collapsed="false">
      <c r="A19" s="83" t="s">
        <v>961</v>
      </c>
      <c r="B19" s="83"/>
      <c r="C19" s="83"/>
      <c r="D19" s="83"/>
      <c r="E19" s="83"/>
    </row>
  </sheetData>
  <mergeCells count="2">
    <mergeCell ref="A2:E2"/>
    <mergeCell ref="A19:E1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12"/>
    <col collapsed="false" customWidth="true" hidden="false" outlineLevel="0" max="3" min="3" style="0" width="40"/>
    <col collapsed="false" customWidth="true" hidden="false" outlineLevel="0" max="4" min="4" style="0" width="90"/>
    <col collapsed="false" customWidth="true" hidden="false" outlineLevel="0" max="5" min="5" style="0" width="22"/>
    <col collapsed="false" customWidth="true" hidden="false" outlineLevel="0" max="6" min="6" style="0" width="24"/>
  </cols>
  <sheetData>
    <row r="2" customFormat="false" ht="24" hidden="false" customHeight="true" outlineLevel="0" collapsed="false">
      <c r="A2" s="1" t="s">
        <v>962</v>
      </c>
      <c r="B2" s="1"/>
      <c r="C2" s="1"/>
      <c r="D2" s="1"/>
      <c r="E2" s="1"/>
      <c r="F2" s="1"/>
    </row>
    <row r="3" customFormat="false" ht="30" hidden="false" customHeight="true" outlineLevel="0" collapsed="false">
      <c r="A3" s="9" t="s">
        <v>286</v>
      </c>
      <c r="B3" s="9" t="s">
        <v>963</v>
      </c>
      <c r="C3" s="9" t="s">
        <v>33</v>
      </c>
      <c r="D3" s="9" t="s">
        <v>829</v>
      </c>
      <c r="E3" s="9" t="s">
        <v>964</v>
      </c>
      <c r="F3" s="9" t="s">
        <v>965</v>
      </c>
    </row>
    <row r="4" customFormat="false" ht="46.25" hidden="false" customHeight="false" outlineLevel="0" collapsed="false">
      <c r="A4" s="82" t="s">
        <v>966</v>
      </c>
      <c r="B4" s="82" t="s">
        <v>967</v>
      </c>
      <c r="C4" s="82" t="s">
        <v>968</v>
      </c>
      <c r="D4" s="82" t="s">
        <v>969</v>
      </c>
      <c r="E4" s="82" t="s">
        <v>970</v>
      </c>
      <c r="F4" s="82" t="s">
        <v>971</v>
      </c>
    </row>
    <row r="5" customFormat="false" ht="46.25" hidden="false" customHeight="false" outlineLevel="0" collapsed="false">
      <c r="A5" s="82" t="s">
        <v>972</v>
      </c>
      <c r="B5" s="82" t="s">
        <v>967</v>
      </c>
      <c r="C5" s="82" t="s">
        <v>973</v>
      </c>
      <c r="D5" s="82" t="s">
        <v>974</v>
      </c>
      <c r="E5" s="82" t="s">
        <v>94</v>
      </c>
      <c r="F5" s="82" t="s">
        <v>975</v>
      </c>
    </row>
    <row r="6" customFormat="false" ht="91" hidden="false" customHeight="false" outlineLevel="0" collapsed="false">
      <c r="A6" s="82" t="s">
        <v>976</v>
      </c>
      <c r="B6" s="82" t="s">
        <v>967</v>
      </c>
      <c r="C6" s="82" t="s">
        <v>977</v>
      </c>
      <c r="D6" s="82" t="s">
        <v>978</v>
      </c>
      <c r="E6" s="82" t="s">
        <v>979</v>
      </c>
      <c r="F6" s="82" t="s">
        <v>971</v>
      </c>
    </row>
    <row r="7" customFormat="false" ht="46.25" hidden="false" customHeight="false" outlineLevel="0" collapsed="false">
      <c r="A7" s="16" t="s">
        <v>980</v>
      </c>
      <c r="B7" s="16" t="s">
        <v>981</v>
      </c>
      <c r="C7" s="16" t="s">
        <v>982</v>
      </c>
      <c r="D7" s="16" t="s">
        <v>983</v>
      </c>
      <c r="E7" s="16" t="s">
        <v>78</v>
      </c>
      <c r="F7" s="16" t="s">
        <v>984</v>
      </c>
    </row>
    <row r="8" customFormat="false" ht="46.25" hidden="false" customHeight="false" outlineLevel="0" collapsed="false">
      <c r="A8" s="16" t="s">
        <v>985</v>
      </c>
      <c r="B8" s="16" t="s">
        <v>981</v>
      </c>
      <c r="C8" s="16" t="s">
        <v>986</v>
      </c>
      <c r="D8" s="16" t="s">
        <v>987</v>
      </c>
      <c r="E8" s="16" t="s">
        <v>78</v>
      </c>
      <c r="F8" s="16" t="s">
        <v>988</v>
      </c>
    </row>
    <row r="9" customFormat="false" ht="46.25" hidden="false" customHeight="false" outlineLevel="0" collapsed="false">
      <c r="A9" s="16" t="s">
        <v>989</v>
      </c>
      <c r="B9" s="16" t="s">
        <v>981</v>
      </c>
      <c r="C9" s="16" t="s">
        <v>990</v>
      </c>
      <c r="D9" s="16" t="s">
        <v>991</v>
      </c>
      <c r="E9" s="16" t="s">
        <v>992</v>
      </c>
      <c r="F9" s="16" t="s">
        <v>993</v>
      </c>
    </row>
    <row r="10" customFormat="false" ht="23.85" hidden="false" customHeight="false" outlineLevel="0" collapsed="false">
      <c r="A10" s="16" t="s">
        <v>994</v>
      </c>
      <c r="B10" s="16" t="s">
        <v>981</v>
      </c>
      <c r="C10" s="16" t="s">
        <v>995</v>
      </c>
      <c r="D10" s="16" t="s">
        <v>996</v>
      </c>
      <c r="E10" s="16" t="s">
        <v>57</v>
      </c>
      <c r="F10" s="16" t="s">
        <v>997</v>
      </c>
    </row>
    <row r="11" customFormat="false" ht="35.05" hidden="false" customHeight="false" outlineLevel="0" collapsed="false">
      <c r="A11" s="18" t="s">
        <v>998</v>
      </c>
      <c r="B11" s="18" t="s">
        <v>999</v>
      </c>
      <c r="C11" s="18" t="s">
        <v>1000</v>
      </c>
      <c r="D11" s="18" t="s">
        <v>1001</v>
      </c>
      <c r="E11" s="18" t="s">
        <v>1002</v>
      </c>
      <c r="F11" s="18" t="s">
        <v>975</v>
      </c>
    </row>
    <row r="12" customFormat="false" ht="46.25" hidden="false" customHeight="false" outlineLevel="0" collapsed="false">
      <c r="A12" s="18" t="s">
        <v>1003</v>
      </c>
      <c r="B12" s="18" t="s">
        <v>999</v>
      </c>
      <c r="C12" s="18" t="s">
        <v>1004</v>
      </c>
      <c r="D12" s="18" t="s">
        <v>1005</v>
      </c>
      <c r="E12" s="18" t="s">
        <v>1006</v>
      </c>
      <c r="F12" s="18" t="s">
        <v>971</v>
      </c>
    </row>
    <row r="13" customFormat="false" ht="23.85" hidden="false" customHeight="false" outlineLevel="0" collapsed="false">
      <c r="A13" s="18" t="s">
        <v>1007</v>
      </c>
      <c r="B13" s="18" t="s">
        <v>999</v>
      </c>
      <c r="C13" s="18" t="s">
        <v>1008</v>
      </c>
      <c r="D13" s="18" t="s">
        <v>1009</v>
      </c>
      <c r="E13" s="18" t="s">
        <v>94</v>
      </c>
      <c r="F13" s="18" t="s">
        <v>1010</v>
      </c>
    </row>
    <row r="14" customFormat="false" ht="57.45" hidden="false" customHeight="false" outlineLevel="0" collapsed="false">
      <c r="A14" s="18" t="s">
        <v>1011</v>
      </c>
      <c r="B14" s="18" t="s">
        <v>999</v>
      </c>
      <c r="C14" s="18" t="s">
        <v>1012</v>
      </c>
      <c r="D14" s="18" t="s">
        <v>1013</v>
      </c>
      <c r="E14" s="18" t="s">
        <v>57</v>
      </c>
      <c r="F14" s="18" t="s">
        <v>984</v>
      </c>
    </row>
    <row r="15" customFormat="false" ht="35.05" hidden="false" customHeight="false" outlineLevel="0" collapsed="false">
      <c r="A15" s="18" t="s">
        <v>1014</v>
      </c>
      <c r="B15" s="18" t="s">
        <v>999</v>
      </c>
      <c r="C15" s="18" t="s">
        <v>1015</v>
      </c>
      <c r="D15" s="18" t="s">
        <v>1016</v>
      </c>
      <c r="E15" s="18" t="s">
        <v>992</v>
      </c>
      <c r="F15" s="18" t="s">
        <v>993</v>
      </c>
    </row>
    <row r="16" customFormat="false" ht="23.85" hidden="false" customHeight="false" outlineLevel="0" collapsed="false">
      <c r="A16" s="18" t="s">
        <v>1017</v>
      </c>
      <c r="B16" s="18" t="s">
        <v>999</v>
      </c>
      <c r="C16" s="18" t="s">
        <v>1018</v>
      </c>
      <c r="D16" s="18" t="s">
        <v>1019</v>
      </c>
      <c r="E16" s="18" t="s">
        <v>1020</v>
      </c>
      <c r="F16" s="18" t="s">
        <v>993</v>
      </c>
    </row>
    <row r="17" customFormat="false" ht="68.65" hidden="false" customHeight="false" outlineLevel="0" collapsed="false">
      <c r="A17" s="10" t="s">
        <v>1021</v>
      </c>
      <c r="B17" s="10" t="s">
        <v>1022</v>
      </c>
      <c r="C17" s="10" t="s">
        <v>1023</v>
      </c>
      <c r="D17" s="10" t="s">
        <v>1024</v>
      </c>
      <c r="E17" s="10" t="s">
        <v>87</v>
      </c>
      <c r="F17" s="10" t="s">
        <v>1025</v>
      </c>
    </row>
    <row r="18" customFormat="false" ht="23.85" hidden="false" customHeight="false" outlineLevel="0" collapsed="false">
      <c r="A18" s="10" t="s">
        <v>1026</v>
      </c>
      <c r="B18" s="10" t="s">
        <v>1022</v>
      </c>
      <c r="C18" s="10" t="s">
        <v>1027</v>
      </c>
      <c r="D18" s="10" t="s">
        <v>1028</v>
      </c>
      <c r="E18" s="10" t="s">
        <v>57</v>
      </c>
      <c r="F18" s="10" t="s">
        <v>993</v>
      </c>
    </row>
    <row r="19" customFormat="false" ht="68.65" hidden="false" customHeight="false" outlineLevel="0" collapsed="false">
      <c r="A19" s="16" t="s">
        <v>1029</v>
      </c>
      <c r="B19" s="16" t="s">
        <v>981</v>
      </c>
      <c r="C19" s="16" t="s">
        <v>1030</v>
      </c>
      <c r="D19" s="16" t="s">
        <v>1031</v>
      </c>
      <c r="E19" s="16" t="s">
        <v>1032</v>
      </c>
      <c r="F19" s="16" t="s">
        <v>993</v>
      </c>
    </row>
    <row r="20" customFormat="false" ht="68.65" hidden="false" customHeight="false" outlineLevel="0" collapsed="false">
      <c r="A20" s="82" t="s">
        <v>1033</v>
      </c>
      <c r="B20" s="82" t="s">
        <v>967</v>
      </c>
      <c r="C20" s="82" t="s">
        <v>1034</v>
      </c>
      <c r="D20" s="82" t="s">
        <v>1035</v>
      </c>
      <c r="E20" s="82" t="s">
        <v>1036</v>
      </c>
      <c r="F20" s="82" t="s">
        <v>755</v>
      </c>
    </row>
    <row r="21" customFormat="false" ht="46.25" hidden="false" customHeight="false" outlineLevel="0" collapsed="false">
      <c r="A21" s="16" t="s">
        <v>1037</v>
      </c>
      <c r="B21" s="16" t="s">
        <v>981</v>
      </c>
      <c r="C21" s="16" t="s">
        <v>1038</v>
      </c>
      <c r="D21" s="16" t="s">
        <v>1039</v>
      </c>
      <c r="E21" s="16" t="s">
        <v>1040</v>
      </c>
      <c r="F21" s="16" t="s">
        <v>1041</v>
      </c>
    </row>
  </sheetData>
  <autoFilter ref="A3:F21"/>
  <mergeCells count="1">
    <mergeCell ref="A2:F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G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3"/>
    <col collapsed="false" customWidth="true" hidden="false" outlineLevel="0" max="3" min="2" style="0" width="12"/>
    <col collapsed="false" customWidth="true" hidden="false" outlineLevel="0" max="4" min="4" style="0" width="16"/>
    <col collapsed="false" customWidth="true" hidden="false" outlineLevel="0" max="5" min="5" style="0" width="10"/>
    <col collapsed="false" customWidth="true" hidden="false" outlineLevel="0" max="6" min="6" style="0" width="96"/>
    <col collapsed="false" customWidth="true" hidden="false" outlineLevel="0" max="7" min="7" style="0" width="34"/>
  </cols>
  <sheetData>
    <row r="2" customFormat="false" ht="24" hidden="false" customHeight="true" outlineLevel="0" collapsed="false">
      <c r="A2" s="1" t="s">
        <v>1042</v>
      </c>
      <c r="B2" s="1"/>
      <c r="C2" s="1"/>
      <c r="D2" s="1"/>
      <c r="E2" s="1"/>
      <c r="F2" s="1"/>
      <c r="G2" s="1"/>
    </row>
    <row r="3" customFormat="false" ht="51.75" hidden="false" customHeight="true" outlineLevel="0" collapsed="false">
      <c r="A3" s="6" t="s">
        <v>1043</v>
      </c>
      <c r="B3" s="6"/>
      <c r="C3" s="6"/>
      <c r="D3" s="6"/>
      <c r="E3" s="6"/>
      <c r="F3" s="6"/>
      <c r="G3" s="6"/>
    </row>
    <row r="5" customFormat="false" ht="30" hidden="false" customHeight="true" outlineLevel="0" collapsed="false">
      <c r="A5" s="9" t="s">
        <v>287</v>
      </c>
      <c r="B5" s="9" t="s">
        <v>1044</v>
      </c>
      <c r="C5" s="9" t="s">
        <v>1045</v>
      </c>
      <c r="D5" s="9" t="s">
        <v>713</v>
      </c>
      <c r="E5" s="9" t="s">
        <v>1046</v>
      </c>
      <c r="F5" s="9" t="s">
        <v>288</v>
      </c>
      <c r="G5" s="9" t="s">
        <v>1047</v>
      </c>
    </row>
    <row r="6" customFormat="false" ht="15" hidden="false" customHeight="false" outlineLevel="0" collapsed="false">
      <c r="A6" s="10" t="s">
        <v>296</v>
      </c>
      <c r="B6" s="10" t="s">
        <v>126</v>
      </c>
      <c r="C6" s="10" t="s">
        <v>214</v>
      </c>
      <c r="D6" s="17" t="n">
        <v>100000</v>
      </c>
      <c r="E6" s="10" t="s">
        <v>351</v>
      </c>
      <c r="F6" s="10" t="s">
        <v>297</v>
      </c>
      <c r="G6" s="10" t="s">
        <v>298</v>
      </c>
    </row>
    <row r="7" customFormat="false" ht="15" hidden="false" customHeight="false" outlineLevel="0" collapsed="false">
      <c r="A7" s="10" t="s">
        <v>302</v>
      </c>
      <c r="B7" s="10" t="s">
        <v>118</v>
      </c>
      <c r="C7" s="10" t="s">
        <v>126</v>
      </c>
      <c r="D7" s="17" t="n">
        <v>99750</v>
      </c>
      <c r="E7" s="10" t="s">
        <v>351</v>
      </c>
      <c r="F7" s="10" t="s">
        <v>303</v>
      </c>
      <c r="G7" s="10" t="s">
        <v>304</v>
      </c>
    </row>
    <row r="8" customFormat="false" ht="15" hidden="false" customHeight="false" outlineLevel="0" collapsed="false">
      <c r="A8" s="10" t="s">
        <v>302</v>
      </c>
      <c r="B8" s="10" t="s">
        <v>261</v>
      </c>
      <c r="C8" s="10" t="s">
        <v>126</v>
      </c>
      <c r="D8" s="17" t="n">
        <v>250</v>
      </c>
      <c r="E8" s="10" t="s">
        <v>351</v>
      </c>
      <c r="F8" s="10" t="s">
        <v>305</v>
      </c>
      <c r="G8" s="10" t="s">
        <v>304</v>
      </c>
    </row>
    <row r="9" customFormat="false" ht="15" hidden="false" customHeight="false" outlineLevel="0" collapsed="false">
      <c r="A9" s="10" t="s">
        <v>306</v>
      </c>
      <c r="B9" s="10" t="s">
        <v>261</v>
      </c>
      <c r="C9" s="10" t="s">
        <v>118</v>
      </c>
      <c r="D9" s="17" t="n">
        <v>550.5</v>
      </c>
      <c r="E9" s="10" t="s">
        <v>351</v>
      </c>
      <c r="F9" s="10" t="s">
        <v>307</v>
      </c>
      <c r="G9" s="10" t="s">
        <v>308</v>
      </c>
    </row>
    <row r="10" customFormat="false" ht="15" hidden="false" customHeight="false" outlineLevel="0" collapsed="false">
      <c r="A10" s="10" t="s">
        <v>309</v>
      </c>
      <c r="B10" s="10" t="s">
        <v>118</v>
      </c>
      <c r="C10" s="10" t="s">
        <v>261</v>
      </c>
      <c r="D10" s="17" t="n">
        <v>544</v>
      </c>
      <c r="E10" s="10" t="s">
        <v>351</v>
      </c>
      <c r="F10" s="10" t="s">
        <v>310</v>
      </c>
      <c r="G10" s="10" t="s">
        <v>311</v>
      </c>
    </row>
    <row r="11" customFormat="false" ht="15" hidden="false" customHeight="false" outlineLevel="0" collapsed="false">
      <c r="A11" s="10" t="s">
        <v>312</v>
      </c>
      <c r="B11" s="10" t="s">
        <v>151</v>
      </c>
      <c r="C11" s="10" t="s">
        <v>118</v>
      </c>
      <c r="D11" s="17" t="n">
        <v>2649.75</v>
      </c>
      <c r="E11" s="10" t="s">
        <v>351</v>
      </c>
      <c r="F11" s="10" t="s">
        <v>313</v>
      </c>
      <c r="G11" s="10" t="s">
        <v>314</v>
      </c>
    </row>
    <row r="12" customFormat="false" ht="15" hidden="false" customHeight="false" outlineLevel="0" collapsed="false">
      <c r="A12" s="10" t="s">
        <v>317</v>
      </c>
      <c r="B12" s="10" t="s">
        <v>248</v>
      </c>
      <c r="C12" s="10" t="s">
        <v>118</v>
      </c>
      <c r="D12" s="17" t="n">
        <v>45000</v>
      </c>
      <c r="E12" s="10" t="s">
        <v>351</v>
      </c>
      <c r="F12" s="10" t="s">
        <v>318</v>
      </c>
      <c r="G12" s="10" t="s">
        <v>319</v>
      </c>
    </row>
    <row r="13" customFormat="false" ht="15" hidden="false" customHeight="false" outlineLevel="0" collapsed="false">
      <c r="A13" s="10" t="s">
        <v>321</v>
      </c>
      <c r="B13" s="10" t="s">
        <v>274</v>
      </c>
      <c r="C13" s="10" t="s">
        <v>118</v>
      </c>
      <c r="D13" s="17" t="n">
        <v>29.85</v>
      </c>
      <c r="E13" s="10" t="s">
        <v>351</v>
      </c>
      <c r="F13" s="10" t="s">
        <v>322</v>
      </c>
      <c r="G13" s="10" t="s">
        <v>323</v>
      </c>
    </row>
    <row r="14" customFormat="false" ht="15" hidden="false" customHeight="false" outlineLevel="0" collapsed="false">
      <c r="A14" s="10" t="s">
        <v>324</v>
      </c>
      <c r="B14" s="10" t="s">
        <v>142</v>
      </c>
      <c r="C14" s="10" t="s">
        <v>183</v>
      </c>
      <c r="D14" s="17" t="n">
        <v>1885300</v>
      </c>
      <c r="E14" s="10" t="s">
        <v>351</v>
      </c>
      <c r="F14" s="10" t="s">
        <v>325</v>
      </c>
      <c r="G14" s="10" t="s">
        <v>326</v>
      </c>
    </row>
    <row r="15" customFormat="false" ht="15" hidden="false" customHeight="false" outlineLevel="0" collapsed="false">
      <c r="A15" s="10" t="s">
        <v>324</v>
      </c>
      <c r="B15" s="10" t="s">
        <v>145</v>
      </c>
      <c r="C15" s="10" t="s">
        <v>186</v>
      </c>
      <c r="D15" s="17" t="n">
        <v>2965950</v>
      </c>
      <c r="E15" s="10" t="s">
        <v>351</v>
      </c>
      <c r="F15" s="10" t="s">
        <v>330</v>
      </c>
      <c r="G15" s="10" t="s">
        <v>331</v>
      </c>
    </row>
    <row r="16" customFormat="false" ht="15" hidden="false" customHeight="false" outlineLevel="0" collapsed="false">
      <c r="A16" s="10" t="s">
        <v>324</v>
      </c>
      <c r="B16" s="10" t="s">
        <v>148</v>
      </c>
      <c r="C16" s="10" t="s">
        <v>186</v>
      </c>
      <c r="D16" s="17" t="n">
        <v>11255</v>
      </c>
      <c r="E16" s="10" t="s">
        <v>351</v>
      </c>
      <c r="F16" s="10" t="s">
        <v>332</v>
      </c>
      <c r="G16" s="10" t="s">
        <v>331</v>
      </c>
    </row>
    <row r="17" customFormat="false" ht="15" hidden="false" customHeight="false" outlineLevel="0" collapsed="false">
      <c r="A17" s="10" t="s">
        <v>324</v>
      </c>
      <c r="B17" s="10" t="s">
        <v>239</v>
      </c>
      <c r="C17" s="10" t="s">
        <v>206</v>
      </c>
      <c r="D17" s="17" t="n">
        <v>1250000</v>
      </c>
      <c r="E17" s="10" t="s">
        <v>351</v>
      </c>
      <c r="F17" s="10" t="s">
        <v>333</v>
      </c>
      <c r="G17" s="10" t="s">
        <v>334</v>
      </c>
    </row>
    <row r="18" customFormat="false" ht="15" hidden="false" customHeight="false" outlineLevel="0" collapsed="false">
      <c r="A18" s="10" t="s">
        <v>324</v>
      </c>
      <c r="B18" s="10" t="s">
        <v>239</v>
      </c>
      <c r="C18" s="10" t="s">
        <v>206</v>
      </c>
      <c r="D18" s="17" t="n">
        <v>2156000</v>
      </c>
      <c r="E18" s="10" t="s">
        <v>351</v>
      </c>
      <c r="F18" s="10" t="s">
        <v>335</v>
      </c>
      <c r="G18" s="10" t="s">
        <v>334</v>
      </c>
    </row>
    <row r="19" customFormat="false" ht="23.85" hidden="false" customHeight="false" outlineLevel="0" collapsed="false">
      <c r="A19" s="10" t="s">
        <v>324</v>
      </c>
      <c r="B19" s="10" t="s">
        <v>244</v>
      </c>
      <c r="C19" s="10" t="s">
        <v>209</v>
      </c>
      <c r="D19" s="17" t="n">
        <v>1960000</v>
      </c>
      <c r="E19" s="10" t="s">
        <v>351</v>
      </c>
      <c r="F19" s="10" t="s">
        <v>336</v>
      </c>
      <c r="G19" s="10" t="s">
        <v>337</v>
      </c>
    </row>
    <row r="20" customFormat="false" ht="15" hidden="false" customHeight="false" outlineLevel="0" collapsed="false">
      <c r="A20" s="10" t="s">
        <v>324</v>
      </c>
      <c r="B20" s="10" t="s">
        <v>157</v>
      </c>
      <c r="C20" s="10" t="s">
        <v>232</v>
      </c>
      <c r="D20" s="17" t="n">
        <v>3406000</v>
      </c>
      <c r="E20" s="10" t="s">
        <v>351</v>
      </c>
      <c r="F20" s="10" t="s">
        <v>338</v>
      </c>
      <c r="G20" s="10" t="s">
        <v>339</v>
      </c>
    </row>
    <row r="21" customFormat="false" ht="15" hidden="false" customHeight="false" outlineLevel="0" collapsed="false">
      <c r="A21" s="10" t="s">
        <v>324</v>
      </c>
      <c r="B21" s="10" t="s">
        <v>165</v>
      </c>
      <c r="C21" s="10" t="s">
        <v>232</v>
      </c>
      <c r="D21" s="17" t="n">
        <v>1960000</v>
      </c>
      <c r="E21" s="10" t="s">
        <v>351</v>
      </c>
      <c r="F21" s="10" t="s">
        <v>340</v>
      </c>
      <c r="G21" s="10" t="s">
        <v>339</v>
      </c>
    </row>
    <row r="22" customFormat="false" ht="15" hidden="false" customHeight="false" outlineLevel="0" collapsed="false">
      <c r="A22" s="10" t="s">
        <v>324</v>
      </c>
      <c r="B22" s="10" t="s">
        <v>165</v>
      </c>
      <c r="C22" s="10" t="s">
        <v>232</v>
      </c>
      <c r="D22" s="17" t="n">
        <v>45000</v>
      </c>
      <c r="E22" s="10" t="s">
        <v>351</v>
      </c>
      <c r="F22" s="10" t="s">
        <v>341</v>
      </c>
      <c r="G22" s="10" t="s">
        <v>339</v>
      </c>
    </row>
    <row r="23" customFormat="false" ht="15" hidden="false" customHeight="false" outlineLevel="0" collapsed="false">
      <c r="A23" s="10" t="s">
        <v>324</v>
      </c>
      <c r="B23" s="10" t="s">
        <v>274</v>
      </c>
      <c r="C23" s="10" t="s">
        <v>118</v>
      </c>
      <c r="D23" s="17" t="n">
        <v>0</v>
      </c>
      <c r="E23" s="10" t="s">
        <v>351</v>
      </c>
      <c r="F23" s="10" t="s">
        <v>342</v>
      </c>
      <c r="G23" s="10" t="s">
        <v>343</v>
      </c>
    </row>
  </sheetData>
  <mergeCells count="2">
    <mergeCell ref="A2:G2"/>
    <mergeCell ref="A3:G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9"/>
    <col collapsed="false" customWidth="true" hidden="false" outlineLevel="0" max="2" min="2" style="0" width="12"/>
    <col collapsed="false" customWidth="true" hidden="false" outlineLevel="0" max="3" min="3" style="0" width="7"/>
    <col collapsed="false" customWidth="true" hidden="false" outlineLevel="0" max="4" min="4" style="0" width="18"/>
    <col collapsed="false" customWidth="true" hidden="false" outlineLevel="0" max="5" min="5" style="0" width="84"/>
    <col collapsed="false" customWidth="true" hidden="false" outlineLevel="0" max="6" min="6" style="0" width="70"/>
  </cols>
  <sheetData>
    <row r="2" customFormat="false" ht="24" hidden="false" customHeight="true" outlineLevel="0" collapsed="false">
      <c r="A2" s="1" t="s">
        <v>1048</v>
      </c>
      <c r="B2" s="1"/>
      <c r="C2" s="1"/>
      <c r="D2" s="1"/>
      <c r="E2" s="1"/>
      <c r="F2" s="1"/>
    </row>
    <row r="3" customFormat="false" ht="25.5" hidden="false" customHeight="true" outlineLevel="0" collapsed="false">
      <c r="A3" s="6" t="s">
        <v>1049</v>
      </c>
      <c r="B3" s="6"/>
      <c r="C3" s="6"/>
      <c r="D3" s="6"/>
      <c r="E3" s="6"/>
      <c r="F3" s="6"/>
    </row>
    <row r="5" customFormat="false" ht="30" hidden="false" customHeight="true" outlineLevel="0" collapsed="false">
      <c r="A5" s="9" t="s">
        <v>1050</v>
      </c>
      <c r="B5" s="9" t="s">
        <v>287</v>
      </c>
      <c r="C5" s="9" t="s">
        <v>286</v>
      </c>
      <c r="D5" s="9" t="s">
        <v>1051</v>
      </c>
      <c r="E5" s="9" t="s">
        <v>1052</v>
      </c>
      <c r="F5" s="9" t="s">
        <v>1053</v>
      </c>
    </row>
    <row r="6" customFormat="false" ht="30" hidden="false" customHeight="true" outlineLevel="0" collapsed="false">
      <c r="A6" s="10" t="s">
        <v>1054</v>
      </c>
      <c r="B6" s="10" t="s">
        <v>922</v>
      </c>
      <c r="C6" s="10" t="s">
        <v>1055</v>
      </c>
      <c r="D6" s="10" t="s">
        <v>1056</v>
      </c>
      <c r="E6" s="10" t="s">
        <v>1057</v>
      </c>
      <c r="F6" s="10" t="s">
        <v>1058</v>
      </c>
    </row>
    <row r="7" customFormat="false" ht="30" hidden="false" customHeight="true" outlineLevel="0" collapsed="false">
      <c r="A7" s="10" t="s">
        <v>1054</v>
      </c>
      <c r="B7" s="10" t="s">
        <v>922</v>
      </c>
      <c r="C7" s="10" t="s">
        <v>1059</v>
      </c>
      <c r="D7" s="10" t="s">
        <v>1060</v>
      </c>
      <c r="E7" s="10" t="s">
        <v>1061</v>
      </c>
      <c r="F7" s="10" t="s">
        <v>1062</v>
      </c>
    </row>
    <row r="8" customFormat="false" ht="30" hidden="false" customHeight="true" outlineLevel="0" collapsed="false">
      <c r="A8" s="10" t="s">
        <v>1054</v>
      </c>
      <c r="B8" s="10" t="s">
        <v>922</v>
      </c>
      <c r="C8" s="10" t="s">
        <v>1063</v>
      </c>
      <c r="D8" s="10" t="s">
        <v>1064</v>
      </c>
      <c r="E8" s="10" t="s">
        <v>1065</v>
      </c>
      <c r="F8" s="10" t="s">
        <v>1066</v>
      </c>
    </row>
    <row r="9" customFormat="false" ht="39" hidden="false" customHeight="true" outlineLevel="0" collapsed="false">
      <c r="A9" s="10" t="s">
        <v>1054</v>
      </c>
      <c r="B9" s="10" t="s">
        <v>922</v>
      </c>
      <c r="C9" s="10" t="s">
        <v>1067</v>
      </c>
      <c r="D9" s="10" t="s">
        <v>1068</v>
      </c>
      <c r="E9" s="10" t="s">
        <v>1069</v>
      </c>
      <c r="F9" s="10" t="s">
        <v>1070</v>
      </c>
    </row>
    <row r="10" customFormat="false" ht="30" hidden="false" customHeight="true" outlineLevel="0" collapsed="false">
      <c r="A10" s="10" t="s">
        <v>1054</v>
      </c>
      <c r="B10" s="10" t="s">
        <v>922</v>
      </c>
      <c r="C10" s="10" t="s">
        <v>1071</v>
      </c>
      <c r="D10" s="10" t="s">
        <v>1072</v>
      </c>
      <c r="E10" s="10" t="s">
        <v>1073</v>
      </c>
      <c r="F10" s="10" t="s">
        <v>1074</v>
      </c>
    </row>
    <row r="11" customFormat="false" ht="39" hidden="false" customHeight="true" outlineLevel="0" collapsed="false">
      <c r="A11" s="10" t="s">
        <v>1054</v>
      </c>
      <c r="B11" s="10" t="s">
        <v>922</v>
      </c>
      <c r="C11" s="10" t="s">
        <v>1075</v>
      </c>
      <c r="D11" s="10" t="s">
        <v>1076</v>
      </c>
      <c r="E11" s="10" t="s">
        <v>1077</v>
      </c>
      <c r="F11" s="10" t="s">
        <v>1078</v>
      </c>
    </row>
    <row r="12" customFormat="false" ht="30" hidden="false" customHeight="true" outlineLevel="0" collapsed="false">
      <c r="A12" s="10" t="s">
        <v>1054</v>
      </c>
      <c r="B12" s="10" t="s">
        <v>922</v>
      </c>
      <c r="C12" s="10" t="s">
        <v>1079</v>
      </c>
      <c r="D12" s="10" t="s">
        <v>1080</v>
      </c>
      <c r="E12" s="10" t="s">
        <v>1081</v>
      </c>
      <c r="F12" s="10" t="s">
        <v>1082</v>
      </c>
    </row>
    <row r="13" customFormat="false" ht="30" hidden="false" customHeight="true" outlineLevel="0" collapsed="false">
      <c r="A13" s="10" t="s">
        <v>1083</v>
      </c>
      <c r="B13" s="10" t="s">
        <v>922</v>
      </c>
      <c r="C13" s="10" t="s">
        <v>1084</v>
      </c>
      <c r="D13" s="10" t="s">
        <v>1085</v>
      </c>
      <c r="E13" s="10" t="s">
        <v>1086</v>
      </c>
      <c r="F13" s="10" t="s">
        <v>1087</v>
      </c>
    </row>
    <row r="14" customFormat="false" ht="30" hidden="false" customHeight="true" outlineLevel="0" collapsed="false">
      <c r="A14" s="10" t="s">
        <v>1083</v>
      </c>
      <c r="B14" s="10" t="s">
        <v>922</v>
      </c>
      <c r="C14" s="10" t="s">
        <v>1088</v>
      </c>
      <c r="D14" s="10" t="s">
        <v>1085</v>
      </c>
      <c r="E14" s="10" t="s">
        <v>1089</v>
      </c>
      <c r="F14" s="10" t="s">
        <v>1090</v>
      </c>
    </row>
    <row r="15" customFormat="false" ht="30" hidden="false" customHeight="true" outlineLevel="0" collapsed="false">
      <c r="A15" s="10" t="s">
        <v>1083</v>
      </c>
      <c r="B15" s="10" t="s">
        <v>922</v>
      </c>
      <c r="C15" s="10" t="s">
        <v>1091</v>
      </c>
      <c r="D15" s="10" t="s">
        <v>1085</v>
      </c>
      <c r="E15" s="10" t="s">
        <v>1092</v>
      </c>
      <c r="F15" s="10" t="s">
        <v>1093</v>
      </c>
    </row>
    <row r="16" customFormat="false" ht="30" hidden="false" customHeight="true" outlineLevel="0" collapsed="false">
      <c r="A16" s="10" t="s">
        <v>1083</v>
      </c>
      <c r="B16" s="10" t="s">
        <v>922</v>
      </c>
      <c r="C16" s="10" t="s">
        <v>1094</v>
      </c>
      <c r="D16" s="10" t="s">
        <v>1072</v>
      </c>
      <c r="E16" s="10" t="s">
        <v>1095</v>
      </c>
      <c r="F16" s="10" t="s">
        <v>1096</v>
      </c>
    </row>
    <row r="17" customFormat="false" ht="30" hidden="false" customHeight="true" outlineLevel="0" collapsed="false">
      <c r="A17" s="10" t="s">
        <v>1083</v>
      </c>
      <c r="B17" s="10" t="s">
        <v>922</v>
      </c>
      <c r="C17" s="10" t="s">
        <v>1097</v>
      </c>
      <c r="D17" s="10" t="s">
        <v>1072</v>
      </c>
      <c r="E17" s="10" t="s">
        <v>1098</v>
      </c>
      <c r="F17" s="10" t="s">
        <v>1099</v>
      </c>
    </row>
    <row r="18" customFormat="false" ht="30" hidden="false" customHeight="true" outlineLevel="0" collapsed="false">
      <c r="A18" s="82" t="s">
        <v>1083</v>
      </c>
      <c r="B18" s="82" t="s">
        <v>922</v>
      </c>
      <c r="C18" s="82" t="s">
        <v>1100</v>
      </c>
      <c r="D18" s="82" t="s">
        <v>1101</v>
      </c>
      <c r="E18" s="82" t="s">
        <v>1102</v>
      </c>
      <c r="F18" s="82" t="s">
        <v>1103</v>
      </c>
    </row>
    <row r="19" customFormat="false" ht="30" hidden="false" customHeight="true" outlineLevel="0" collapsed="false">
      <c r="A19" s="82" t="s">
        <v>1083</v>
      </c>
      <c r="B19" s="82" t="s">
        <v>922</v>
      </c>
      <c r="C19" s="82" t="s">
        <v>1104</v>
      </c>
      <c r="D19" s="82" t="s">
        <v>1101</v>
      </c>
      <c r="E19" s="82" t="s">
        <v>1105</v>
      </c>
      <c r="F19" s="82" t="s">
        <v>1106</v>
      </c>
    </row>
    <row r="20" customFormat="false" ht="30" hidden="false" customHeight="true" outlineLevel="0" collapsed="false">
      <c r="A20" s="82" t="s">
        <v>1083</v>
      </c>
      <c r="B20" s="82" t="s">
        <v>922</v>
      </c>
      <c r="C20" s="82" t="s">
        <v>1107</v>
      </c>
      <c r="D20" s="82" t="s">
        <v>1101</v>
      </c>
      <c r="E20" s="82" t="s">
        <v>1108</v>
      </c>
      <c r="F20" s="82" t="s">
        <v>1109</v>
      </c>
    </row>
    <row r="21" customFormat="false" ht="30" hidden="false" customHeight="true" outlineLevel="0" collapsed="false">
      <c r="A21" s="82" t="s">
        <v>1083</v>
      </c>
      <c r="B21" s="82" t="s">
        <v>922</v>
      </c>
      <c r="C21" s="82" t="s">
        <v>1110</v>
      </c>
      <c r="D21" s="82" t="s">
        <v>1101</v>
      </c>
      <c r="E21" s="82" t="s">
        <v>1111</v>
      </c>
      <c r="F21" s="82" t="s">
        <v>1112</v>
      </c>
    </row>
    <row r="22" customFormat="false" ht="39" hidden="false" customHeight="true" outlineLevel="0" collapsed="false">
      <c r="A22" s="82" t="s">
        <v>1083</v>
      </c>
      <c r="B22" s="82" t="s">
        <v>922</v>
      </c>
      <c r="C22" s="82" t="s">
        <v>1113</v>
      </c>
      <c r="D22" s="82" t="s">
        <v>1101</v>
      </c>
      <c r="E22" s="82" t="s">
        <v>1114</v>
      </c>
      <c r="F22" s="82" t="s">
        <v>1115</v>
      </c>
    </row>
    <row r="23" customFormat="false" ht="30" hidden="false" customHeight="true" outlineLevel="0" collapsed="false">
      <c r="A23" s="82" t="s">
        <v>1083</v>
      </c>
      <c r="B23" s="82" t="s">
        <v>922</v>
      </c>
      <c r="C23" s="82" t="s">
        <v>1116</v>
      </c>
      <c r="D23" s="82" t="s">
        <v>1101</v>
      </c>
      <c r="E23" s="82" t="s">
        <v>1117</v>
      </c>
      <c r="F23" s="82" t="s">
        <v>1118</v>
      </c>
    </row>
    <row r="24" customFormat="false" ht="30" hidden="false" customHeight="true" outlineLevel="0" collapsed="false">
      <c r="A24" s="10" t="s">
        <v>1083</v>
      </c>
      <c r="B24" s="10" t="s">
        <v>922</v>
      </c>
      <c r="C24" s="10" t="s">
        <v>1119</v>
      </c>
      <c r="D24" s="10" t="s">
        <v>1080</v>
      </c>
      <c r="E24" s="10" t="s">
        <v>1120</v>
      </c>
      <c r="F24" s="10" t="s">
        <v>1121</v>
      </c>
    </row>
    <row r="25" customFormat="false" ht="39" hidden="false" customHeight="true" outlineLevel="0" collapsed="false">
      <c r="A25" s="20" t="s">
        <v>1122</v>
      </c>
      <c r="B25" s="20" t="s">
        <v>1123</v>
      </c>
      <c r="C25" s="20" t="s">
        <v>1124</v>
      </c>
      <c r="D25" s="20" t="s">
        <v>1125</v>
      </c>
      <c r="E25" s="20" t="s">
        <v>1126</v>
      </c>
      <c r="F25" s="20" t="s">
        <v>1127</v>
      </c>
    </row>
    <row r="26" customFormat="false" ht="39" hidden="false" customHeight="true" outlineLevel="0" collapsed="false">
      <c r="A26" s="82" t="s">
        <v>1122</v>
      </c>
      <c r="B26" s="82" t="s">
        <v>1123</v>
      </c>
      <c r="C26" s="82" t="s">
        <v>1128</v>
      </c>
      <c r="D26" s="82" t="s">
        <v>432</v>
      </c>
      <c r="E26" s="82" t="s">
        <v>1129</v>
      </c>
      <c r="F26" s="82" t="s">
        <v>1130</v>
      </c>
    </row>
    <row r="27" customFormat="false" ht="39" hidden="false" customHeight="true" outlineLevel="0" collapsed="false">
      <c r="A27" s="82" t="s">
        <v>1122</v>
      </c>
      <c r="B27" s="82" t="s">
        <v>1123</v>
      </c>
      <c r="C27" s="82" t="s">
        <v>1131</v>
      </c>
      <c r="D27" s="82" t="s">
        <v>432</v>
      </c>
      <c r="E27" s="82" t="s">
        <v>1132</v>
      </c>
      <c r="F27" s="82" t="s">
        <v>1133</v>
      </c>
    </row>
    <row r="28" customFormat="false" ht="39" hidden="false" customHeight="true" outlineLevel="0" collapsed="false">
      <c r="A28" s="82" t="s">
        <v>1122</v>
      </c>
      <c r="B28" s="82" t="s">
        <v>1123</v>
      </c>
      <c r="C28" s="82" t="s">
        <v>1134</v>
      </c>
      <c r="D28" s="82" t="s">
        <v>432</v>
      </c>
      <c r="E28" s="82" t="s">
        <v>1135</v>
      </c>
      <c r="F28" s="82" t="s">
        <v>1136</v>
      </c>
    </row>
    <row r="29" customFormat="false" ht="30" hidden="false" customHeight="true" outlineLevel="0" collapsed="false">
      <c r="A29" s="20" t="s">
        <v>1122</v>
      </c>
      <c r="B29" s="20" t="s">
        <v>1123</v>
      </c>
      <c r="C29" s="20" t="s">
        <v>1137</v>
      </c>
      <c r="D29" s="20" t="s">
        <v>1138</v>
      </c>
      <c r="E29" s="20" t="s">
        <v>1139</v>
      </c>
      <c r="F29" s="20" t="s">
        <v>1140</v>
      </c>
    </row>
    <row r="30" customFormat="false" ht="39" hidden="false" customHeight="true" outlineLevel="0" collapsed="false">
      <c r="A30" s="20" t="s">
        <v>1122</v>
      </c>
      <c r="B30" s="20" t="s">
        <v>1123</v>
      </c>
      <c r="C30" s="20" t="s">
        <v>1141</v>
      </c>
      <c r="D30" s="20" t="s">
        <v>1072</v>
      </c>
      <c r="E30" s="20" t="s">
        <v>1142</v>
      </c>
      <c r="F30" s="20" t="s">
        <v>1143</v>
      </c>
    </row>
    <row r="31" customFormat="false" ht="30" hidden="false" customHeight="true" outlineLevel="0" collapsed="false">
      <c r="A31" s="20" t="s">
        <v>1122</v>
      </c>
      <c r="B31" s="20" t="s">
        <v>1123</v>
      </c>
      <c r="C31" s="20" t="s">
        <v>1144</v>
      </c>
      <c r="D31" s="20" t="s">
        <v>1072</v>
      </c>
      <c r="E31" s="20" t="s">
        <v>1145</v>
      </c>
      <c r="F31" s="20" t="s">
        <v>1146</v>
      </c>
    </row>
    <row r="32" customFormat="false" ht="39" hidden="false" customHeight="true" outlineLevel="0" collapsed="false">
      <c r="A32" s="20" t="s">
        <v>1122</v>
      </c>
      <c r="B32" s="20" t="s">
        <v>1123</v>
      </c>
      <c r="C32" s="20" t="s">
        <v>1147</v>
      </c>
      <c r="D32" s="20" t="s">
        <v>1148</v>
      </c>
      <c r="E32" s="20" t="s">
        <v>1149</v>
      </c>
      <c r="F32" s="20" t="s">
        <v>1150</v>
      </c>
    </row>
    <row r="33" customFormat="false" ht="39" hidden="false" customHeight="true" outlineLevel="0" collapsed="false">
      <c r="A33" s="20" t="s">
        <v>1122</v>
      </c>
      <c r="B33" s="20" t="s">
        <v>1123</v>
      </c>
      <c r="C33" s="20" t="s">
        <v>1151</v>
      </c>
      <c r="D33" s="20" t="s">
        <v>1148</v>
      </c>
      <c r="E33" s="20" t="s">
        <v>1152</v>
      </c>
      <c r="F33" s="20" t="s">
        <v>1153</v>
      </c>
    </row>
    <row r="34" customFormat="false" ht="39" hidden="false" customHeight="true" outlineLevel="0" collapsed="false">
      <c r="A34" s="82" t="s">
        <v>1122</v>
      </c>
      <c r="B34" s="82" t="s">
        <v>1123</v>
      </c>
      <c r="C34" s="82" t="s">
        <v>1154</v>
      </c>
      <c r="D34" s="82" t="s">
        <v>432</v>
      </c>
      <c r="E34" s="82" t="s">
        <v>1155</v>
      </c>
      <c r="F34" s="82" t="s">
        <v>1156</v>
      </c>
    </row>
    <row r="35" customFormat="false" ht="39" hidden="false" customHeight="true" outlineLevel="0" collapsed="false">
      <c r="A35" s="82" t="s">
        <v>1122</v>
      </c>
      <c r="B35" s="82" t="s">
        <v>1123</v>
      </c>
      <c r="C35" s="82" t="s">
        <v>1157</v>
      </c>
      <c r="D35" s="82" t="s">
        <v>432</v>
      </c>
      <c r="E35" s="82" t="s">
        <v>1158</v>
      </c>
      <c r="F35" s="82" t="s">
        <v>1106</v>
      </c>
    </row>
    <row r="36" customFormat="false" ht="39" hidden="false" customHeight="true" outlineLevel="0" collapsed="false">
      <c r="A36" s="20" t="s">
        <v>1122</v>
      </c>
      <c r="B36" s="20" t="s">
        <v>1123</v>
      </c>
      <c r="C36" s="20" t="s">
        <v>1159</v>
      </c>
      <c r="D36" s="20" t="s">
        <v>1125</v>
      </c>
      <c r="E36" s="20" t="s">
        <v>1160</v>
      </c>
      <c r="F36" s="20" t="s">
        <v>1161</v>
      </c>
    </row>
    <row r="37" customFormat="false" ht="51.75" hidden="false" customHeight="true" outlineLevel="0" collapsed="false">
      <c r="A37" s="82" t="s">
        <v>1122</v>
      </c>
      <c r="B37" s="82" t="s">
        <v>1123</v>
      </c>
      <c r="C37" s="82" t="s">
        <v>1162</v>
      </c>
      <c r="D37" s="82" t="s">
        <v>432</v>
      </c>
      <c r="E37" s="82" t="s">
        <v>1163</v>
      </c>
      <c r="F37" s="82" t="s">
        <v>1164</v>
      </c>
    </row>
    <row r="38" customFormat="false" ht="64.5" hidden="false" customHeight="true" outlineLevel="0" collapsed="false">
      <c r="A38" s="82" t="s">
        <v>1122</v>
      </c>
      <c r="B38" s="82" t="s">
        <v>1123</v>
      </c>
      <c r="C38" s="82" t="s">
        <v>1165</v>
      </c>
      <c r="D38" s="82" t="s">
        <v>1101</v>
      </c>
      <c r="E38" s="82" t="s">
        <v>1166</v>
      </c>
      <c r="F38" s="82" t="s">
        <v>1167</v>
      </c>
    </row>
    <row r="39" customFormat="false" ht="30" hidden="false" customHeight="true" outlineLevel="0" collapsed="false">
      <c r="A39" s="20" t="s">
        <v>1122</v>
      </c>
      <c r="B39" s="20" t="s">
        <v>1123</v>
      </c>
      <c r="C39" s="20" t="s">
        <v>1168</v>
      </c>
      <c r="D39" s="20" t="s">
        <v>1169</v>
      </c>
      <c r="E39" s="20" t="s">
        <v>1170</v>
      </c>
      <c r="F39" s="20" t="s">
        <v>1171</v>
      </c>
    </row>
  </sheetData>
  <mergeCells count="2">
    <mergeCell ref="A2:F2"/>
    <mergeCell ref="A3:F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E6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62"/>
    <col collapsed="false" customWidth="true" hidden="false" outlineLevel="0" max="3" min="3" style="0" width="10"/>
    <col collapsed="false" customWidth="true" hidden="false" outlineLevel="0" max="4" min="4" style="0" width="22"/>
    <col collapsed="false" customWidth="true" hidden="false" outlineLevel="0" max="5" min="5" style="0" width="46"/>
  </cols>
  <sheetData>
    <row r="2" customFormat="false" ht="24" hidden="false" customHeight="true" outlineLevel="0" collapsed="false">
      <c r="A2" s="1" t="s">
        <v>106</v>
      </c>
      <c r="B2" s="1"/>
      <c r="C2" s="1"/>
      <c r="D2" s="1"/>
      <c r="E2" s="1"/>
    </row>
    <row r="3" customFormat="false" ht="39" hidden="false" customHeight="true" outlineLevel="0" collapsed="false">
      <c r="A3" s="6" t="s">
        <v>107</v>
      </c>
      <c r="B3" s="6"/>
      <c r="C3" s="6"/>
      <c r="D3" s="6"/>
      <c r="E3" s="6"/>
    </row>
    <row r="5" customFormat="false" ht="30" hidden="false" customHeight="true" outlineLevel="0" collapsed="false">
      <c r="A5" s="9" t="s">
        <v>108</v>
      </c>
      <c r="B5" s="9" t="s">
        <v>109</v>
      </c>
      <c r="C5" s="9" t="s">
        <v>110</v>
      </c>
      <c r="D5" s="9" t="s">
        <v>111</v>
      </c>
      <c r="E5" s="9" t="s">
        <v>112</v>
      </c>
    </row>
    <row r="6" customFormat="false" ht="15" hidden="false" customHeight="false" outlineLevel="0" collapsed="false">
      <c r="A6" s="10" t="s">
        <v>113</v>
      </c>
      <c r="B6" s="10" t="s">
        <v>114</v>
      </c>
      <c r="C6" s="10" t="s">
        <v>115</v>
      </c>
      <c r="D6" s="10" t="s">
        <v>116</v>
      </c>
      <c r="E6" s="10" t="s">
        <v>117</v>
      </c>
    </row>
    <row r="7" customFormat="false" ht="15" hidden="false" customHeight="false" outlineLevel="0" collapsed="false">
      <c r="A7" s="10" t="s">
        <v>118</v>
      </c>
      <c r="B7" s="10" t="s">
        <v>119</v>
      </c>
      <c r="C7" s="10" t="s">
        <v>115</v>
      </c>
      <c r="D7" s="10" t="s">
        <v>116</v>
      </c>
      <c r="E7" s="10" t="s">
        <v>120</v>
      </c>
    </row>
    <row r="8" customFormat="false" ht="15" hidden="false" customHeight="false" outlineLevel="0" collapsed="false">
      <c r="A8" s="10" t="s">
        <v>121</v>
      </c>
      <c r="B8" s="10" t="s">
        <v>122</v>
      </c>
      <c r="C8" s="10" t="s">
        <v>115</v>
      </c>
      <c r="D8" s="10" t="s">
        <v>116</v>
      </c>
      <c r="E8" s="10" t="s">
        <v>123</v>
      </c>
    </row>
    <row r="9" customFormat="false" ht="15" hidden="false" customHeight="false" outlineLevel="0" collapsed="false">
      <c r="A9" s="10" t="s">
        <v>124</v>
      </c>
      <c r="B9" s="10" t="s">
        <v>125</v>
      </c>
      <c r="C9" s="10" t="s">
        <v>115</v>
      </c>
      <c r="D9" s="10" t="s">
        <v>116</v>
      </c>
      <c r="E9" s="10"/>
    </row>
    <row r="10" customFormat="false" ht="15" hidden="false" customHeight="false" outlineLevel="0" collapsed="false">
      <c r="A10" s="10" t="s">
        <v>126</v>
      </c>
      <c r="B10" s="10" t="s">
        <v>127</v>
      </c>
      <c r="C10" s="10" t="s">
        <v>115</v>
      </c>
      <c r="D10" s="10" t="s">
        <v>116</v>
      </c>
      <c r="E10" s="10" t="s">
        <v>128</v>
      </c>
    </row>
    <row r="11" customFormat="false" ht="15" hidden="false" customHeight="false" outlineLevel="0" collapsed="false">
      <c r="A11" s="10" t="s">
        <v>129</v>
      </c>
      <c r="B11" s="10" t="s">
        <v>130</v>
      </c>
      <c r="C11" s="10" t="s">
        <v>115</v>
      </c>
      <c r="D11" s="10" t="s">
        <v>116</v>
      </c>
      <c r="E11" s="10" t="s">
        <v>131</v>
      </c>
    </row>
    <row r="12" customFormat="false" ht="15" hidden="false" customHeight="false" outlineLevel="0" collapsed="false">
      <c r="A12" s="10" t="s">
        <v>132</v>
      </c>
      <c r="B12" s="10" t="s">
        <v>133</v>
      </c>
      <c r="C12" s="10" t="s">
        <v>115</v>
      </c>
      <c r="D12" s="10" t="s">
        <v>116</v>
      </c>
      <c r="E12" s="10" t="s">
        <v>131</v>
      </c>
    </row>
    <row r="13" customFormat="false" ht="15" hidden="false" customHeight="false" outlineLevel="0" collapsed="false">
      <c r="A13" s="10" t="s">
        <v>134</v>
      </c>
      <c r="B13" s="10" t="s">
        <v>135</v>
      </c>
      <c r="C13" s="10" t="s">
        <v>115</v>
      </c>
      <c r="D13" s="10" t="s">
        <v>116</v>
      </c>
      <c r="E13" s="10"/>
    </row>
    <row r="14" customFormat="false" ht="15" hidden="false" customHeight="false" outlineLevel="0" collapsed="false">
      <c r="A14" s="10" t="s">
        <v>136</v>
      </c>
      <c r="B14" s="10" t="s">
        <v>137</v>
      </c>
      <c r="C14" s="10" t="s">
        <v>115</v>
      </c>
      <c r="D14" s="10" t="s">
        <v>116</v>
      </c>
      <c r="E14" s="10"/>
    </row>
    <row r="15" customFormat="false" ht="15" hidden="false" customHeight="false" outlineLevel="0" collapsed="false">
      <c r="A15" s="15" t="s">
        <v>138</v>
      </c>
      <c r="B15" s="15" t="s">
        <v>139</v>
      </c>
      <c r="C15" s="15" t="s">
        <v>115</v>
      </c>
      <c r="D15" s="15" t="s">
        <v>140</v>
      </c>
      <c r="E15" s="15" t="s">
        <v>141</v>
      </c>
    </row>
    <row r="16" customFormat="false" ht="15" hidden="false" customHeight="false" outlineLevel="0" collapsed="false">
      <c r="A16" s="10" t="s">
        <v>142</v>
      </c>
      <c r="B16" s="10" t="s">
        <v>143</v>
      </c>
      <c r="C16" s="10" t="s">
        <v>115</v>
      </c>
      <c r="D16" s="10" t="s">
        <v>140</v>
      </c>
      <c r="E16" s="10" t="s">
        <v>144</v>
      </c>
    </row>
    <row r="17" customFormat="false" ht="15" hidden="false" customHeight="false" outlineLevel="0" collapsed="false">
      <c r="A17" s="10" t="s">
        <v>145</v>
      </c>
      <c r="B17" s="10" t="s">
        <v>146</v>
      </c>
      <c r="C17" s="10" t="s">
        <v>115</v>
      </c>
      <c r="D17" s="10" t="s">
        <v>140</v>
      </c>
      <c r="E17" s="10" t="s">
        <v>147</v>
      </c>
    </row>
    <row r="18" customFormat="false" ht="15" hidden="false" customHeight="false" outlineLevel="0" collapsed="false">
      <c r="A18" s="10" t="s">
        <v>148</v>
      </c>
      <c r="B18" s="10" t="s">
        <v>149</v>
      </c>
      <c r="C18" s="10" t="s">
        <v>115</v>
      </c>
      <c r="D18" s="10" t="s">
        <v>140</v>
      </c>
      <c r="E18" s="10" t="s">
        <v>150</v>
      </c>
    </row>
    <row r="19" customFormat="false" ht="15" hidden="false" customHeight="false" outlineLevel="0" collapsed="false">
      <c r="A19" s="10" t="s">
        <v>151</v>
      </c>
      <c r="B19" s="10" t="s">
        <v>152</v>
      </c>
      <c r="C19" s="10" t="s">
        <v>115</v>
      </c>
      <c r="D19" s="10" t="s">
        <v>140</v>
      </c>
      <c r="E19" s="10" t="s">
        <v>153</v>
      </c>
    </row>
    <row r="20" customFormat="false" ht="15" hidden="false" customHeight="false" outlineLevel="0" collapsed="false">
      <c r="A20" s="15" t="s">
        <v>154</v>
      </c>
      <c r="B20" s="15" t="s">
        <v>155</v>
      </c>
      <c r="C20" s="15" t="s">
        <v>115</v>
      </c>
      <c r="D20" s="15" t="s">
        <v>140</v>
      </c>
      <c r="E20" s="15" t="s">
        <v>156</v>
      </c>
    </row>
    <row r="21" customFormat="false" ht="15" hidden="false" customHeight="false" outlineLevel="0" collapsed="false">
      <c r="A21" s="10" t="s">
        <v>157</v>
      </c>
      <c r="B21" s="10" t="s">
        <v>158</v>
      </c>
      <c r="C21" s="10" t="s">
        <v>115</v>
      </c>
      <c r="D21" s="10" t="s">
        <v>140</v>
      </c>
      <c r="E21" s="10" t="s">
        <v>159</v>
      </c>
    </row>
    <row r="22" customFormat="false" ht="15" hidden="false" customHeight="false" outlineLevel="0" collapsed="false">
      <c r="A22" s="10" t="s">
        <v>160</v>
      </c>
      <c r="B22" s="10" t="s">
        <v>161</v>
      </c>
      <c r="C22" s="10" t="s">
        <v>115</v>
      </c>
      <c r="D22" s="10" t="s">
        <v>140</v>
      </c>
      <c r="E22" s="10" t="s">
        <v>162</v>
      </c>
    </row>
    <row r="23" customFormat="false" ht="15" hidden="false" customHeight="false" outlineLevel="0" collapsed="false">
      <c r="A23" s="10" t="s">
        <v>163</v>
      </c>
      <c r="B23" s="10" t="s">
        <v>164</v>
      </c>
      <c r="C23" s="10" t="s">
        <v>115</v>
      </c>
      <c r="D23" s="10" t="s">
        <v>140</v>
      </c>
      <c r="E23" s="10" t="s">
        <v>162</v>
      </c>
    </row>
    <row r="24" customFormat="false" ht="15" hidden="false" customHeight="false" outlineLevel="0" collapsed="false">
      <c r="A24" s="10" t="s">
        <v>165</v>
      </c>
      <c r="B24" s="10" t="s">
        <v>166</v>
      </c>
      <c r="C24" s="10" t="s">
        <v>115</v>
      </c>
      <c r="D24" s="10" t="s">
        <v>140</v>
      </c>
      <c r="E24" s="10" t="s">
        <v>167</v>
      </c>
    </row>
    <row r="25" customFormat="false" ht="15" hidden="false" customHeight="false" outlineLevel="0" collapsed="false">
      <c r="A25" s="10" t="s">
        <v>168</v>
      </c>
      <c r="B25" s="10" t="s">
        <v>169</v>
      </c>
      <c r="C25" s="10" t="s">
        <v>115</v>
      </c>
      <c r="D25" s="10" t="s">
        <v>140</v>
      </c>
      <c r="E25" s="10" t="s">
        <v>162</v>
      </c>
    </row>
    <row r="26" customFormat="false" ht="15" hidden="false" customHeight="false" outlineLevel="0" collapsed="false">
      <c r="A26" s="10" t="s">
        <v>170</v>
      </c>
      <c r="B26" s="10" t="s">
        <v>171</v>
      </c>
      <c r="C26" s="10" t="s">
        <v>115</v>
      </c>
      <c r="D26" s="10" t="s">
        <v>140</v>
      </c>
      <c r="E26" s="10" t="s">
        <v>162</v>
      </c>
    </row>
    <row r="27" customFormat="false" ht="15" hidden="false" customHeight="false" outlineLevel="0" collapsed="false">
      <c r="A27" s="10" t="s">
        <v>172</v>
      </c>
      <c r="B27" s="10" t="s">
        <v>173</v>
      </c>
      <c r="C27" s="10" t="s">
        <v>115</v>
      </c>
      <c r="D27" s="10" t="s">
        <v>140</v>
      </c>
      <c r="E27" s="10" t="s">
        <v>162</v>
      </c>
    </row>
    <row r="28" customFormat="false" ht="15" hidden="false" customHeight="false" outlineLevel="0" collapsed="false">
      <c r="A28" s="10" t="s">
        <v>174</v>
      </c>
      <c r="B28" s="10" t="s">
        <v>175</v>
      </c>
      <c r="C28" s="10" t="s">
        <v>115</v>
      </c>
      <c r="D28" s="10" t="s">
        <v>140</v>
      </c>
      <c r="E28" s="10" t="s">
        <v>162</v>
      </c>
    </row>
    <row r="29" customFormat="false" ht="15" hidden="false" customHeight="false" outlineLevel="0" collapsed="false">
      <c r="A29" s="10" t="s">
        <v>176</v>
      </c>
      <c r="B29" s="10" t="s">
        <v>177</v>
      </c>
      <c r="C29" s="10" t="s">
        <v>115</v>
      </c>
      <c r="D29" s="10" t="s">
        <v>140</v>
      </c>
      <c r="E29" s="10" t="s">
        <v>178</v>
      </c>
    </row>
    <row r="30" customFormat="false" ht="15" hidden="false" customHeight="false" outlineLevel="0" collapsed="false">
      <c r="A30" s="15" t="s">
        <v>179</v>
      </c>
      <c r="B30" s="15" t="s">
        <v>180</v>
      </c>
      <c r="C30" s="15" t="s">
        <v>181</v>
      </c>
      <c r="D30" s="15" t="s">
        <v>182</v>
      </c>
      <c r="E30" s="15"/>
    </row>
    <row r="31" customFormat="false" ht="15" hidden="false" customHeight="false" outlineLevel="0" collapsed="false">
      <c r="A31" s="10" t="s">
        <v>183</v>
      </c>
      <c r="B31" s="10" t="s">
        <v>184</v>
      </c>
      <c r="C31" s="10" t="s">
        <v>181</v>
      </c>
      <c r="D31" s="10" t="s">
        <v>182</v>
      </c>
      <c r="E31" s="10" t="s">
        <v>185</v>
      </c>
    </row>
    <row r="32" customFormat="false" ht="15" hidden="false" customHeight="false" outlineLevel="0" collapsed="false">
      <c r="A32" s="10" t="s">
        <v>186</v>
      </c>
      <c r="B32" s="10" t="s">
        <v>187</v>
      </c>
      <c r="C32" s="10" t="s">
        <v>181</v>
      </c>
      <c r="D32" s="10" t="s">
        <v>182</v>
      </c>
      <c r="E32" s="10" t="s">
        <v>185</v>
      </c>
    </row>
    <row r="33" customFormat="false" ht="15" hidden="false" customHeight="false" outlineLevel="0" collapsed="false">
      <c r="A33" s="10" t="s">
        <v>188</v>
      </c>
      <c r="B33" s="10" t="s">
        <v>189</v>
      </c>
      <c r="C33" s="10" t="s">
        <v>181</v>
      </c>
      <c r="D33" s="10" t="s">
        <v>182</v>
      </c>
      <c r="E33" s="10"/>
    </row>
    <row r="34" customFormat="false" ht="15" hidden="false" customHeight="false" outlineLevel="0" collapsed="false">
      <c r="A34" s="10" t="s">
        <v>190</v>
      </c>
      <c r="B34" s="10" t="s">
        <v>191</v>
      </c>
      <c r="C34" s="10" t="s">
        <v>181</v>
      </c>
      <c r="D34" s="10" t="s">
        <v>182</v>
      </c>
      <c r="E34" s="10" t="s">
        <v>131</v>
      </c>
    </row>
    <row r="35" customFormat="false" ht="15" hidden="false" customHeight="false" outlineLevel="0" collapsed="false">
      <c r="A35" s="10" t="s">
        <v>192</v>
      </c>
      <c r="B35" s="10" t="s">
        <v>193</v>
      </c>
      <c r="C35" s="10" t="s">
        <v>181</v>
      </c>
      <c r="D35" s="10" t="s">
        <v>182</v>
      </c>
      <c r="E35" s="10" t="s">
        <v>131</v>
      </c>
    </row>
    <row r="36" customFormat="false" ht="15" hidden="false" customHeight="false" outlineLevel="0" collapsed="false">
      <c r="A36" s="10" t="s">
        <v>194</v>
      </c>
      <c r="B36" s="10" t="s">
        <v>195</v>
      </c>
      <c r="C36" s="10" t="s">
        <v>181</v>
      </c>
      <c r="D36" s="10" t="s">
        <v>182</v>
      </c>
      <c r="E36" s="10"/>
    </row>
    <row r="37" customFormat="false" ht="15" hidden="false" customHeight="false" outlineLevel="0" collapsed="false">
      <c r="A37" s="10" t="s">
        <v>196</v>
      </c>
      <c r="B37" s="10" t="s">
        <v>197</v>
      </c>
      <c r="C37" s="10" t="s">
        <v>181</v>
      </c>
      <c r="D37" s="10" t="s">
        <v>182</v>
      </c>
      <c r="E37" s="10" t="s">
        <v>198</v>
      </c>
    </row>
    <row r="38" customFormat="false" ht="15" hidden="false" customHeight="false" outlineLevel="0" collapsed="false">
      <c r="A38" s="10" t="s">
        <v>199</v>
      </c>
      <c r="B38" s="10" t="s">
        <v>200</v>
      </c>
      <c r="C38" s="10" t="s">
        <v>181</v>
      </c>
      <c r="D38" s="10" t="s">
        <v>182</v>
      </c>
      <c r="E38" s="10"/>
    </row>
    <row r="39" customFormat="false" ht="15" hidden="false" customHeight="false" outlineLevel="0" collapsed="false">
      <c r="A39" s="10" t="s">
        <v>201</v>
      </c>
      <c r="B39" s="10" t="s">
        <v>202</v>
      </c>
      <c r="C39" s="10" t="s">
        <v>181</v>
      </c>
      <c r="D39" s="10" t="s">
        <v>182</v>
      </c>
      <c r="E39" s="10"/>
    </row>
    <row r="40" customFormat="false" ht="15" hidden="false" customHeight="false" outlineLevel="0" collapsed="false">
      <c r="A40" s="15" t="s">
        <v>203</v>
      </c>
      <c r="B40" s="15" t="s">
        <v>204</v>
      </c>
      <c r="C40" s="15" t="s">
        <v>181</v>
      </c>
      <c r="D40" s="15" t="s">
        <v>205</v>
      </c>
      <c r="E40" s="15"/>
    </row>
    <row r="41" customFormat="false" ht="15" hidden="false" customHeight="false" outlineLevel="0" collapsed="false">
      <c r="A41" s="10" t="s">
        <v>206</v>
      </c>
      <c r="B41" s="10" t="s">
        <v>207</v>
      </c>
      <c r="C41" s="10" t="s">
        <v>181</v>
      </c>
      <c r="D41" s="10" t="s">
        <v>205</v>
      </c>
      <c r="E41" s="10" t="s">
        <v>208</v>
      </c>
    </row>
    <row r="42" customFormat="false" ht="15" hidden="false" customHeight="false" outlineLevel="0" collapsed="false">
      <c r="A42" s="10" t="s">
        <v>209</v>
      </c>
      <c r="B42" s="10" t="s">
        <v>210</v>
      </c>
      <c r="C42" s="10" t="s">
        <v>181</v>
      </c>
      <c r="D42" s="10" t="s">
        <v>205</v>
      </c>
      <c r="E42" s="10" t="s">
        <v>208</v>
      </c>
    </row>
    <row r="43" customFormat="false" ht="15" hidden="false" customHeight="false" outlineLevel="0" collapsed="false">
      <c r="A43" s="10" t="s">
        <v>211</v>
      </c>
      <c r="B43" s="10" t="s">
        <v>212</v>
      </c>
      <c r="C43" s="10" t="s">
        <v>181</v>
      </c>
      <c r="D43" s="10" t="s">
        <v>205</v>
      </c>
      <c r="E43" s="10" t="s">
        <v>213</v>
      </c>
    </row>
    <row r="44" customFormat="false" ht="15" hidden="false" customHeight="false" outlineLevel="0" collapsed="false">
      <c r="A44" s="10" t="s">
        <v>214</v>
      </c>
      <c r="B44" s="10" t="s">
        <v>11</v>
      </c>
      <c r="C44" s="10" t="s">
        <v>181</v>
      </c>
      <c r="D44" s="10" t="s">
        <v>215</v>
      </c>
      <c r="E44" s="10" t="s">
        <v>216</v>
      </c>
    </row>
    <row r="45" customFormat="false" ht="15" hidden="false" customHeight="false" outlineLevel="0" collapsed="false">
      <c r="A45" s="10" t="s">
        <v>217</v>
      </c>
      <c r="B45" s="10" t="s">
        <v>218</v>
      </c>
      <c r="C45" s="10" t="s">
        <v>181</v>
      </c>
      <c r="D45" s="10" t="s">
        <v>215</v>
      </c>
      <c r="E45" s="10" t="s">
        <v>219</v>
      </c>
    </row>
    <row r="46" customFormat="false" ht="15" hidden="false" customHeight="false" outlineLevel="0" collapsed="false">
      <c r="A46" s="10" t="s">
        <v>220</v>
      </c>
      <c r="B46" s="10" t="s">
        <v>221</v>
      </c>
      <c r="C46" s="10" t="s">
        <v>181</v>
      </c>
      <c r="D46" s="10" t="s">
        <v>215</v>
      </c>
      <c r="E46" s="10"/>
    </row>
    <row r="47" customFormat="false" ht="15" hidden="false" customHeight="false" outlineLevel="0" collapsed="false">
      <c r="A47" s="10" t="s">
        <v>222</v>
      </c>
      <c r="B47" s="10" t="s">
        <v>223</v>
      </c>
      <c r="C47" s="10" t="s">
        <v>181</v>
      </c>
      <c r="D47" s="10" t="s">
        <v>215</v>
      </c>
      <c r="E47" s="10"/>
    </row>
    <row r="48" customFormat="false" ht="15" hidden="false" customHeight="false" outlineLevel="0" collapsed="false">
      <c r="A48" s="10" t="s">
        <v>224</v>
      </c>
      <c r="B48" s="10" t="s">
        <v>225</v>
      </c>
      <c r="C48" s="10" t="s">
        <v>226</v>
      </c>
      <c r="D48" s="10" t="s">
        <v>227</v>
      </c>
      <c r="E48" s="10" t="s">
        <v>228</v>
      </c>
    </row>
    <row r="49" customFormat="false" ht="15" hidden="false" customHeight="false" outlineLevel="0" collapsed="false">
      <c r="A49" s="10" t="s">
        <v>229</v>
      </c>
      <c r="B49" s="10" t="s">
        <v>230</v>
      </c>
      <c r="C49" s="10" t="s">
        <v>226</v>
      </c>
      <c r="D49" s="10" t="s">
        <v>227</v>
      </c>
      <c r="E49" s="10" t="s">
        <v>231</v>
      </c>
    </row>
    <row r="50" customFormat="false" ht="23.85" hidden="false" customHeight="false" outlineLevel="0" collapsed="false">
      <c r="A50" s="16" t="s">
        <v>232</v>
      </c>
      <c r="B50" s="16" t="s">
        <v>233</v>
      </c>
      <c r="C50" s="16" t="s">
        <v>226</v>
      </c>
      <c r="D50" s="16" t="s">
        <v>227</v>
      </c>
      <c r="E50" s="16" t="s">
        <v>234</v>
      </c>
    </row>
    <row r="51" customFormat="false" ht="15" hidden="false" customHeight="false" outlineLevel="0" collapsed="false">
      <c r="A51" s="10" t="s">
        <v>235</v>
      </c>
      <c r="B51" s="10" t="s">
        <v>236</v>
      </c>
      <c r="C51" s="10" t="s">
        <v>237</v>
      </c>
      <c r="D51" s="10" t="s">
        <v>238</v>
      </c>
      <c r="E51" s="10"/>
    </row>
    <row r="52" customFormat="false" ht="15" hidden="false" customHeight="false" outlineLevel="0" collapsed="false">
      <c r="A52" s="10" t="s">
        <v>239</v>
      </c>
      <c r="B52" s="10" t="s">
        <v>240</v>
      </c>
      <c r="C52" s="10" t="s">
        <v>237</v>
      </c>
      <c r="D52" s="10" t="s">
        <v>238</v>
      </c>
      <c r="E52" s="10" t="s">
        <v>241</v>
      </c>
    </row>
    <row r="53" customFormat="false" ht="15" hidden="false" customHeight="false" outlineLevel="0" collapsed="false">
      <c r="A53" s="10" t="s">
        <v>242</v>
      </c>
      <c r="B53" s="10" t="s">
        <v>243</v>
      </c>
      <c r="C53" s="10" t="s">
        <v>237</v>
      </c>
      <c r="D53" s="10" t="s">
        <v>238</v>
      </c>
      <c r="E53" s="10"/>
    </row>
    <row r="54" customFormat="false" ht="15" hidden="false" customHeight="false" outlineLevel="0" collapsed="false">
      <c r="A54" s="10" t="s">
        <v>244</v>
      </c>
      <c r="B54" s="10" t="s">
        <v>245</v>
      </c>
      <c r="C54" s="10" t="s">
        <v>237</v>
      </c>
      <c r="D54" s="10" t="s">
        <v>238</v>
      </c>
      <c r="E54" s="10" t="s">
        <v>241</v>
      </c>
    </row>
    <row r="55" customFormat="false" ht="15" hidden="false" customHeight="false" outlineLevel="0" collapsed="false">
      <c r="A55" s="10" t="s">
        <v>246</v>
      </c>
      <c r="B55" s="10" t="s">
        <v>247</v>
      </c>
      <c r="C55" s="10" t="s">
        <v>237</v>
      </c>
      <c r="D55" s="10" t="s">
        <v>238</v>
      </c>
      <c r="E55" s="10"/>
    </row>
    <row r="56" customFormat="false" ht="15" hidden="false" customHeight="false" outlineLevel="0" collapsed="false">
      <c r="A56" s="10" t="s">
        <v>248</v>
      </c>
      <c r="B56" s="10" t="s">
        <v>249</v>
      </c>
      <c r="C56" s="10" t="s">
        <v>237</v>
      </c>
      <c r="D56" s="10" t="s">
        <v>238</v>
      </c>
      <c r="E56" s="10" t="s">
        <v>250</v>
      </c>
    </row>
    <row r="57" customFormat="false" ht="15" hidden="false" customHeight="false" outlineLevel="0" collapsed="false">
      <c r="A57" s="10" t="s">
        <v>251</v>
      </c>
      <c r="B57" s="10" t="s">
        <v>252</v>
      </c>
      <c r="C57" s="10" t="s">
        <v>237</v>
      </c>
      <c r="D57" s="10" t="s">
        <v>238</v>
      </c>
      <c r="E57" s="10"/>
    </row>
    <row r="58" customFormat="false" ht="15" hidden="false" customHeight="false" outlineLevel="0" collapsed="false">
      <c r="A58" s="10" t="s">
        <v>253</v>
      </c>
      <c r="B58" s="10" t="s">
        <v>254</v>
      </c>
      <c r="C58" s="10" t="s">
        <v>237</v>
      </c>
      <c r="D58" s="10" t="s">
        <v>238</v>
      </c>
      <c r="E58" s="10" t="s">
        <v>255</v>
      </c>
    </row>
    <row r="59" customFormat="false" ht="15" hidden="false" customHeight="false" outlineLevel="0" collapsed="false">
      <c r="A59" s="10" t="s">
        <v>256</v>
      </c>
      <c r="B59" s="10" t="s">
        <v>257</v>
      </c>
      <c r="C59" s="10" t="s">
        <v>237</v>
      </c>
      <c r="D59" s="10" t="s">
        <v>238</v>
      </c>
      <c r="E59" s="10"/>
    </row>
    <row r="60" customFormat="false" ht="15" hidden="false" customHeight="false" outlineLevel="0" collapsed="false">
      <c r="A60" s="10" t="s">
        <v>258</v>
      </c>
      <c r="B60" s="10" t="s">
        <v>259</v>
      </c>
      <c r="C60" s="10" t="s">
        <v>237</v>
      </c>
      <c r="D60" s="10" t="s">
        <v>238</v>
      </c>
      <c r="E60" s="10" t="s">
        <v>260</v>
      </c>
    </row>
    <row r="61" customFormat="false" ht="23.85" hidden="false" customHeight="false" outlineLevel="0" collapsed="false">
      <c r="A61" s="10" t="s">
        <v>261</v>
      </c>
      <c r="B61" s="10" t="s">
        <v>262</v>
      </c>
      <c r="C61" s="10" t="s">
        <v>237</v>
      </c>
      <c r="D61" s="10" t="s">
        <v>238</v>
      </c>
      <c r="E61" s="10" t="s">
        <v>263</v>
      </c>
    </row>
    <row r="62" customFormat="false" ht="15" hidden="false" customHeight="false" outlineLevel="0" collapsed="false">
      <c r="A62" s="10" t="s">
        <v>264</v>
      </c>
      <c r="B62" s="10" t="s">
        <v>265</v>
      </c>
      <c r="C62" s="10" t="s">
        <v>237</v>
      </c>
      <c r="D62" s="10" t="s">
        <v>238</v>
      </c>
      <c r="E62" s="10"/>
    </row>
    <row r="63" customFormat="false" ht="15" hidden="false" customHeight="false" outlineLevel="0" collapsed="false">
      <c r="A63" s="10" t="s">
        <v>266</v>
      </c>
      <c r="B63" s="10" t="s">
        <v>267</v>
      </c>
      <c r="C63" s="10" t="s">
        <v>237</v>
      </c>
      <c r="D63" s="10" t="s">
        <v>238</v>
      </c>
      <c r="E63" s="10"/>
    </row>
    <row r="64" customFormat="false" ht="15" hidden="false" customHeight="false" outlineLevel="0" collapsed="false">
      <c r="A64" s="10" t="s">
        <v>268</v>
      </c>
      <c r="B64" s="10" t="s">
        <v>269</v>
      </c>
      <c r="C64" s="10" t="s">
        <v>237</v>
      </c>
      <c r="D64" s="10" t="s">
        <v>238</v>
      </c>
      <c r="E64" s="10" t="s">
        <v>270</v>
      </c>
    </row>
    <row r="65" customFormat="false" ht="15" hidden="false" customHeight="false" outlineLevel="0" collapsed="false">
      <c r="A65" s="10" t="s">
        <v>271</v>
      </c>
      <c r="B65" s="10" t="s">
        <v>272</v>
      </c>
      <c r="C65" s="10" t="s">
        <v>237</v>
      </c>
      <c r="D65" s="10" t="s">
        <v>273</v>
      </c>
      <c r="E65" s="10"/>
    </row>
    <row r="66" customFormat="false" ht="15" hidden="false" customHeight="false" outlineLevel="0" collapsed="false">
      <c r="A66" s="10" t="s">
        <v>274</v>
      </c>
      <c r="B66" s="10" t="s">
        <v>275</v>
      </c>
      <c r="C66" s="10" t="s">
        <v>237</v>
      </c>
      <c r="D66" s="10" t="s">
        <v>273</v>
      </c>
      <c r="E66" s="10"/>
    </row>
    <row r="67" customFormat="false" ht="15" hidden="false" customHeight="false" outlineLevel="0" collapsed="false">
      <c r="A67" s="10" t="s">
        <v>276</v>
      </c>
      <c r="B67" s="10" t="s">
        <v>277</v>
      </c>
      <c r="C67" s="10" t="s">
        <v>237</v>
      </c>
      <c r="D67" s="10" t="s">
        <v>273</v>
      </c>
      <c r="E67" s="10" t="s">
        <v>278</v>
      </c>
    </row>
    <row r="68" customFormat="false" ht="15" hidden="false" customHeight="false" outlineLevel="0" collapsed="false">
      <c r="A68" s="10" t="s">
        <v>279</v>
      </c>
      <c r="B68" s="10" t="s">
        <v>280</v>
      </c>
      <c r="C68" s="10" t="s">
        <v>226</v>
      </c>
      <c r="D68" s="10" t="s">
        <v>273</v>
      </c>
      <c r="E68" s="10"/>
    </row>
    <row r="69" customFormat="false" ht="15" hidden="false" customHeight="false" outlineLevel="0" collapsed="false">
      <c r="A69" s="10" t="s">
        <v>281</v>
      </c>
      <c r="B69" s="10" t="s">
        <v>282</v>
      </c>
      <c r="C69" s="10" t="s">
        <v>237</v>
      </c>
      <c r="D69" s="10" t="s">
        <v>283</v>
      </c>
      <c r="E69" s="10"/>
    </row>
  </sheetData>
  <autoFilter ref="A5:E69"/>
  <mergeCells count="2">
    <mergeCell ref="A2:E2"/>
    <mergeCell ref="A3:E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2"/>
    <col collapsed="false" customWidth="true" hidden="false" outlineLevel="0" max="3" min="3" style="0" width="68"/>
    <col collapsed="false" customWidth="true" hidden="false" outlineLevel="0" max="4" min="4" style="0" width="32"/>
    <col collapsed="false" customWidth="true" hidden="false" outlineLevel="0" max="6" min="5" style="0" width="11"/>
    <col collapsed="false" customWidth="true" hidden="false" outlineLevel="0" max="7" min="7" style="0" width="16"/>
    <col collapsed="false" customWidth="true" hidden="false" outlineLevel="0" max="8" min="8" style="0" width="12"/>
    <col collapsed="false" customWidth="true" hidden="false" outlineLevel="0" max="9" min="9" style="0" width="8"/>
    <col collapsed="false" customWidth="true" hidden="false" outlineLevel="0" max="10" min="10" style="0" width="14"/>
  </cols>
  <sheetData>
    <row r="2" customFormat="false" ht="24" hidden="false" customHeight="true" outlineLevel="0" collapsed="false">
      <c r="A2" s="1" t="s">
        <v>284</v>
      </c>
      <c r="B2" s="1"/>
      <c r="C2" s="1"/>
      <c r="D2" s="1"/>
      <c r="E2" s="1"/>
      <c r="F2" s="1"/>
      <c r="G2" s="1"/>
      <c r="H2" s="1"/>
      <c r="I2" s="1"/>
      <c r="J2" s="1"/>
    </row>
    <row r="3" customFormat="false" ht="25.5" hidden="false" customHeight="true" outlineLevel="0" collapsed="false">
      <c r="A3" s="6" t="s">
        <v>285</v>
      </c>
      <c r="B3" s="6"/>
      <c r="C3" s="6"/>
      <c r="D3" s="6"/>
      <c r="E3" s="6"/>
      <c r="F3" s="6"/>
      <c r="G3" s="6"/>
      <c r="H3" s="6"/>
      <c r="I3" s="6"/>
      <c r="J3" s="6"/>
    </row>
    <row r="5" customFormat="false" ht="30" hidden="false" customHeight="true" outlineLevel="0" collapsed="false">
      <c r="A5" s="9" t="s">
        <v>286</v>
      </c>
      <c r="B5" s="9" t="s">
        <v>287</v>
      </c>
      <c r="C5" s="9" t="s">
        <v>288</v>
      </c>
      <c r="D5" s="9" t="s">
        <v>289</v>
      </c>
      <c r="E5" s="9" t="s">
        <v>290</v>
      </c>
      <c r="F5" s="9" t="s">
        <v>291</v>
      </c>
      <c r="G5" s="9" t="s">
        <v>292</v>
      </c>
      <c r="H5" s="9" t="s">
        <v>293</v>
      </c>
      <c r="I5" s="9" t="s">
        <v>294</v>
      </c>
      <c r="J5" s="9" t="s">
        <v>295</v>
      </c>
    </row>
    <row r="6" customFormat="false" ht="15" hidden="false" customHeight="false" outlineLevel="0" collapsed="false">
      <c r="A6" s="10" t="n">
        <v>1</v>
      </c>
      <c r="B6" s="10" t="s">
        <v>296</v>
      </c>
      <c r="C6" s="10" t="s">
        <v>297</v>
      </c>
      <c r="D6" s="10" t="s">
        <v>298</v>
      </c>
      <c r="E6" s="10" t="s">
        <v>126</v>
      </c>
      <c r="F6" s="10" t="s">
        <v>214</v>
      </c>
      <c r="G6" s="17" t="n">
        <v>100000</v>
      </c>
      <c r="H6" s="10" t="s">
        <v>299</v>
      </c>
      <c r="I6" s="10" t="s">
        <v>300</v>
      </c>
      <c r="J6" s="10" t="s">
        <v>301</v>
      </c>
    </row>
    <row r="7" customFormat="false" ht="15" hidden="false" customHeight="false" outlineLevel="0" collapsed="false">
      <c r="A7" s="10" t="n">
        <v>2</v>
      </c>
      <c r="B7" s="10" t="s">
        <v>302</v>
      </c>
      <c r="C7" s="10" t="s">
        <v>303</v>
      </c>
      <c r="D7" s="10" t="s">
        <v>304</v>
      </c>
      <c r="E7" s="10" t="s">
        <v>118</v>
      </c>
      <c r="F7" s="10" t="s">
        <v>126</v>
      </c>
      <c r="G7" s="17" t="n">
        <v>99750</v>
      </c>
      <c r="H7" s="10" t="s">
        <v>299</v>
      </c>
      <c r="I7" s="10" t="s">
        <v>300</v>
      </c>
      <c r="J7" s="10" t="s">
        <v>301</v>
      </c>
    </row>
    <row r="8" customFormat="false" ht="15" hidden="false" customHeight="false" outlineLevel="0" collapsed="false">
      <c r="A8" s="10" t="n">
        <v>3</v>
      </c>
      <c r="B8" s="10" t="s">
        <v>302</v>
      </c>
      <c r="C8" s="10" t="s">
        <v>305</v>
      </c>
      <c r="D8" s="10" t="s">
        <v>304</v>
      </c>
      <c r="E8" s="10" t="s">
        <v>261</v>
      </c>
      <c r="F8" s="10" t="s">
        <v>126</v>
      </c>
      <c r="G8" s="17" t="n">
        <v>250</v>
      </c>
      <c r="H8" s="10" t="s">
        <v>299</v>
      </c>
      <c r="I8" s="10" t="s">
        <v>300</v>
      </c>
      <c r="J8" s="10" t="s">
        <v>301</v>
      </c>
    </row>
    <row r="9" customFormat="false" ht="15" hidden="false" customHeight="false" outlineLevel="0" collapsed="false">
      <c r="A9" s="10" t="n">
        <v>4</v>
      </c>
      <c r="B9" s="10" t="s">
        <v>306</v>
      </c>
      <c r="C9" s="10" t="s">
        <v>307</v>
      </c>
      <c r="D9" s="10" t="s">
        <v>308</v>
      </c>
      <c r="E9" s="10" t="s">
        <v>261</v>
      </c>
      <c r="F9" s="10" t="s">
        <v>118</v>
      </c>
      <c r="G9" s="17" t="n">
        <v>550.5</v>
      </c>
      <c r="H9" s="10" t="s">
        <v>299</v>
      </c>
      <c r="I9" s="10" t="s">
        <v>300</v>
      </c>
      <c r="J9" s="10" t="s">
        <v>301</v>
      </c>
    </row>
    <row r="10" customFormat="false" ht="15" hidden="false" customHeight="false" outlineLevel="0" collapsed="false">
      <c r="A10" s="10" t="n">
        <v>5</v>
      </c>
      <c r="B10" s="10" t="s">
        <v>309</v>
      </c>
      <c r="C10" s="10" t="s">
        <v>310</v>
      </c>
      <c r="D10" s="10" t="s">
        <v>311</v>
      </c>
      <c r="E10" s="10" t="s">
        <v>118</v>
      </c>
      <c r="F10" s="10" t="s">
        <v>261</v>
      </c>
      <c r="G10" s="17" t="n">
        <v>544</v>
      </c>
      <c r="H10" s="10" t="s">
        <v>299</v>
      </c>
      <c r="I10" s="10" t="s">
        <v>300</v>
      </c>
      <c r="J10" s="10" t="s">
        <v>301</v>
      </c>
    </row>
    <row r="11" customFormat="false" ht="15" hidden="false" customHeight="false" outlineLevel="0" collapsed="false">
      <c r="A11" s="18" t="n">
        <v>6</v>
      </c>
      <c r="B11" s="18" t="s">
        <v>312</v>
      </c>
      <c r="C11" s="18" t="s">
        <v>313</v>
      </c>
      <c r="D11" s="18" t="s">
        <v>314</v>
      </c>
      <c r="E11" s="18" t="s">
        <v>151</v>
      </c>
      <c r="F11" s="18" t="s">
        <v>118</v>
      </c>
      <c r="G11" s="19" t="n">
        <v>2649.75</v>
      </c>
      <c r="H11" s="18" t="s">
        <v>315</v>
      </c>
      <c r="I11" s="18" t="s">
        <v>300</v>
      </c>
      <c r="J11" s="18" t="s">
        <v>316</v>
      </c>
    </row>
    <row r="12" customFormat="false" ht="23.85" hidden="false" customHeight="false" outlineLevel="0" collapsed="false">
      <c r="A12" s="10" t="n">
        <v>7</v>
      </c>
      <c r="B12" s="10" t="s">
        <v>317</v>
      </c>
      <c r="C12" s="10" t="s">
        <v>318</v>
      </c>
      <c r="D12" s="10" t="s">
        <v>319</v>
      </c>
      <c r="E12" s="10" t="s">
        <v>248</v>
      </c>
      <c r="F12" s="10" t="s">
        <v>118</v>
      </c>
      <c r="G12" s="17" t="n">
        <v>45000</v>
      </c>
      <c r="H12" s="10" t="s">
        <v>320</v>
      </c>
      <c r="I12" s="10" t="s">
        <v>300</v>
      </c>
      <c r="J12" s="10" t="s">
        <v>301</v>
      </c>
    </row>
    <row r="13" customFormat="false" ht="15" hidden="false" customHeight="false" outlineLevel="0" collapsed="false">
      <c r="A13" s="10" t="n">
        <v>8</v>
      </c>
      <c r="B13" s="10" t="s">
        <v>321</v>
      </c>
      <c r="C13" s="10" t="s">
        <v>322</v>
      </c>
      <c r="D13" s="10" t="s">
        <v>323</v>
      </c>
      <c r="E13" s="10" t="s">
        <v>274</v>
      </c>
      <c r="F13" s="10" t="s">
        <v>118</v>
      </c>
      <c r="G13" s="17" t="n">
        <v>29.85</v>
      </c>
      <c r="H13" s="10" t="s">
        <v>299</v>
      </c>
      <c r="I13" s="10" t="s">
        <v>300</v>
      </c>
      <c r="J13" s="10" t="s">
        <v>301</v>
      </c>
    </row>
    <row r="14" customFormat="false" ht="23.85" hidden="false" customHeight="false" outlineLevel="0" collapsed="false">
      <c r="A14" s="20" t="n">
        <v>9</v>
      </c>
      <c r="B14" s="20" t="s">
        <v>324</v>
      </c>
      <c r="C14" s="20" t="s">
        <v>325</v>
      </c>
      <c r="D14" s="20" t="s">
        <v>326</v>
      </c>
      <c r="E14" s="20" t="s">
        <v>142</v>
      </c>
      <c r="F14" s="20" t="s">
        <v>183</v>
      </c>
      <c r="G14" s="21" t="n">
        <v>1885300</v>
      </c>
      <c r="H14" s="20" t="s">
        <v>327</v>
      </c>
      <c r="I14" s="20" t="s">
        <v>328</v>
      </c>
      <c r="J14" s="20" t="s">
        <v>329</v>
      </c>
    </row>
    <row r="15" customFormat="false" ht="23.85" hidden="false" customHeight="false" outlineLevel="0" collapsed="false">
      <c r="A15" s="20" t="n">
        <v>10</v>
      </c>
      <c r="B15" s="20" t="s">
        <v>324</v>
      </c>
      <c r="C15" s="20" t="s">
        <v>330</v>
      </c>
      <c r="D15" s="20" t="s">
        <v>331</v>
      </c>
      <c r="E15" s="20" t="s">
        <v>145</v>
      </c>
      <c r="F15" s="20" t="s">
        <v>186</v>
      </c>
      <c r="G15" s="21" t="n">
        <v>2965950</v>
      </c>
      <c r="H15" s="20" t="s">
        <v>327</v>
      </c>
      <c r="I15" s="20" t="s">
        <v>328</v>
      </c>
      <c r="J15" s="20" t="s">
        <v>329</v>
      </c>
    </row>
    <row r="16" customFormat="false" ht="23.85" hidden="false" customHeight="false" outlineLevel="0" collapsed="false">
      <c r="A16" s="20" t="n">
        <v>11</v>
      </c>
      <c r="B16" s="20" t="s">
        <v>324</v>
      </c>
      <c r="C16" s="20" t="s">
        <v>332</v>
      </c>
      <c r="D16" s="20" t="s">
        <v>331</v>
      </c>
      <c r="E16" s="20" t="s">
        <v>148</v>
      </c>
      <c r="F16" s="20" t="s">
        <v>186</v>
      </c>
      <c r="G16" s="21" t="n">
        <v>11255</v>
      </c>
      <c r="H16" s="20" t="s">
        <v>315</v>
      </c>
      <c r="I16" s="20" t="s">
        <v>328</v>
      </c>
      <c r="J16" s="20" t="s">
        <v>329</v>
      </c>
    </row>
    <row r="17" customFormat="false" ht="23.85" hidden="false" customHeight="false" outlineLevel="0" collapsed="false">
      <c r="A17" s="20" t="n">
        <v>12</v>
      </c>
      <c r="B17" s="20" t="s">
        <v>324</v>
      </c>
      <c r="C17" s="20" t="s">
        <v>333</v>
      </c>
      <c r="D17" s="20" t="s">
        <v>334</v>
      </c>
      <c r="E17" s="20" t="s">
        <v>239</v>
      </c>
      <c r="F17" s="20" t="s">
        <v>206</v>
      </c>
      <c r="G17" s="21" t="n">
        <v>1250000</v>
      </c>
      <c r="H17" s="20" t="s">
        <v>315</v>
      </c>
      <c r="I17" s="20" t="s">
        <v>328</v>
      </c>
      <c r="J17" s="20" t="s">
        <v>329</v>
      </c>
    </row>
    <row r="18" customFormat="false" ht="23.85" hidden="false" customHeight="false" outlineLevel="0" collapsed="false">
      <c r="A18" s="20" t="n">
        <v>13</v>
      </c>
      <c r="B18" s="20" t="s">
        <v>324</v>
      </c>
      <c r="C18" s="20" t="s">
        <v>335</v>
      </c>
      <c r="D18" s="20" t="s">
        <v>334</v>
      </c>
      <c r="E18" s="20" t="s">
        <v>239</v>
      </c>
      <c r="F18" s="20" t="s">
        <v>206</v>
      </c>
      <c r="G18" s="21" t="n">
        <v>2156000</v>
      </c>
      <c r="H18" s="20" t="s">
        <v>315</v>
      </c>
      <c r="I18" s="20" t="s">
        <v>328</v>
      </c>
      <c r="J18" s="20" t="s">
        <v>329</v>
      </c>
    </row>
    <row r="19" customFormat="false" ht="23.85" hidden="false" customHeight="false" outlineLevel="0" collapsed="false">
      <c r="A19" s="20" t="n">
        <v>14</v>
      </c>
      <c r="B19" s="20" t="s">
        <v>324</v>
      </c>
      <c r="C19" s="20" t="s">
        <v>336</v>
      </c>
      <c r="D19" s="20" t="s">
        <v>337</v>
      </c>
      <c r="E19" s="20" t="s">
        <v>244</v>
      </c>
      <c r="F19" s="20" t="s">
        <v>209</v>
      </c>
      <c r="G19" s="21" t="n">
        <v>1960000</v>
      </c>
      <c r="H19" s="20" t="s">
        <v>320</v>
      </c>
      <c r="I19" s="20" t="s">
        <v>328</v>
      </c>
      <c r="J19" s="20" t="s">
        <v>329</v>
      </c>
    </row>
    <row r="20" customFormat="false" ht="15" hidden="false" customHeight="false" outlineLevel="0" collapsed="false">
      <c r="A20" s="20" t="n">
        <v>15</v>
      </c>
      <c r="B20" s="20" t="s">
        <v>324</v>
      </c>
      <c r="C20" s="20" t="s">
        <v>338</v>
      </c>
      <c r="D20" s="20" t="s">
        <v>339</v>
      </c>
      <c r="E20" s="20" t="s">
        <v>157</v>
      </c>
      <c r="F20" s="20" t="s">
        <v>232</v>
      </c>
      <c r="G20" s="21" t="n">
        <v>3406000</v>
      </c>
      <c r="H20" s="20" t="s">
        <v>315</v>
      </c>
      <c r="I20" s="20" t="s">
        <v>328</v>
      </c>
      <c r="J20" s="20" t="s">
        <v>329</v>
      </c>
    </row>
    <row r="21" customFormat="false" ht="15" hidden="false" customHeight="false" outlineLevel="0" collapsed="false">
      <c r="A21" s="20" t="n">
        <v>16</v>
      </c>
      <c r="B21" s="20" t="s">
        <v>324</v>
      </c>
      <c r="C21" s="20" t="s">
        <v>340</v>
      </c>
      <c r="D21" s="20" t="s">
        <v>339</v>
      </c>
      <c r="E21" s="20" t="s">
        <v>165</v>
      </c>
      <c r="F21" s="20" t="s">
        <v>232</v>
      </c>
      <c r="G21" s="21" t="n">
        <v>1960000</v>
      </c>
      <c r="H21" s="20" t="s">
        <v>320</v>
      </c>
      <c r="I21" s="20" t="s">
        <v>328</v>
      </c>
      <c r="J21" s="20" t="s">
        <v>329</v>
      </c>
    </row>
    <row r="22" customFormat="false" ht="15" hidden="false" customHeight="false" outlineLevel="0" collapsed="false">
      <c r="A22" s="20" t="n">
        <v>17</v>
      </c>
      <c r="B22" s="20" t="s">
        <v>324</v>
      </c>
      <c r="C22" s="20" t="s">
        <v>341</v>
      </c>
      <c r="D22" s="20" t="s">
        <v>339</v>
      </c>
      <c r="E22" s="20" t="s">
        <v>165</v>
      </c>
      <c r="F22" s="20" t="s">
        <v>232</v>
      </c>
      <c r="G22" s="21" t="n">
        <v>45000</v>
      </c>
      <c r="H22" s="20" t="s">
        <v>320</v>
      </c>
      <c r="I22" s="20" t="s">
        <v>328</v>
      </c>
      <c r="J22" s="20" t="s">
        <v>329</v>
      </c>
    </row>
    <row r="23" customFormat="false" ht="23.85" hidden="false" customHeight="false" outlineLevel="0" collapsed="false">
      <c r="A23" s="16" t="n">
        <v>18</v>
      </c>
      <c r="B23" s="16" t="s">
        <v>324</v>
      </c>
      <c r="C23" s="16" t="s">
        <v>342</v>
      </c>
      <c r="D23" s="16" t="s">
        <v>343</v>
      </c>
      <c r="E23" s="16" t="s">
        <v>274</v>
      </c>
      <c r="F23" s="16" t="s">
        <v>118</v>
      </c>
      <c r="G23" s="22" t="n">
        <v>0</v>
      </c>
      <c r="H23" s="16" t="s">
        <v>299</v>
      </c>
      <c r="I23" s="16" t="s">
        <v>328</v>
      </c>
      <c r="J23" s="16" t="s">
        <v>344</v>
      </c>
    </row>
    <row r="24" customFormat="false" ht="15" hidden="false" customHeight="false" outlineLevel="0" collapsed="false">
      <c r="F24" s="23" t="s">
        <v>345</v>
      </c>
      <c r="G24" s="24" t="n">
        <f aca="false">SUM(G6:G23)</f>
        <v>15888279.1</v>
      </c>
    </row>
    <row r="26" customFormat="false" ht="25.5" hidden="false" customHeight="true" outlineLevel="0" collapsed="false">
      <c r="A26" s="7" t="s">
        <v>346</v>
      </c>
      <c r="B26" s="7"/>
      <c r="C26" s="7"/>
      <c r="D26" s="7"/>
      <c r="E26" s="7"/>
      <c r="F26" s="7"/>
      <c r="G26" s="7"/>
      <c r="H26" s="7"/>
      <c r="I26" s="7"/>
      <c r="J26" s="7"/>
    </row>
  </sheetData>
  <mergeCells count="3">
    <mergeCell ref="A2:J2"/>
    <mergeCell ref="A3:J3"/>
    <mergeCell ref="A26:J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E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54"/>
    <col collapsed="false" customWidth="true" hidden="false" outlineLevel="0" max="3" min="3" style="0" width="66"/>
    <col collapsed="false" customWidth="true" hidden="false" outlineLevel="0" max="4" min="4" style="0" width="17"/>
    <col collapsed="false" customWidth="true" hidden="false" outlineLevel="0" max="5" min="5" style="0" width="19"/>
  </cols>
  <sheetData>
    <row r="2" customFormat="false" ht="24" hidden="false" customHeight="true" outlineLevel="0" collapsed="false">
      <c r="A2" s="1" t="s">
        <v>347</v>
      </c>
      <c r="B2" s="1"/>
      <c r="C2" s="1"/>
      <c r="D2" s="1"/>
      <c r="E2" s="1"/>
    </row>
    <row r="3" customFormat="false" ht="15" hidden="false" customHeight="false" outlineLevel="0" collapsed="false">
      <c r="A3" s="25" t="s">
        <v>348</v>
      </c>
    </row>
    <row r="5" customFormat="false" ht="30" hidden="false" customHeight="true" outlineLevel="0" collapsed="false">
      <c r="A5" s="9" t="s">
        <v>108</v>
      </c>
      <c r="B5" s="9" t="s">
        <v>349</v>
      </c>
      <c r="C5" s="9" t="s">
        <v>350</v>
      </c>
      <c r="D5" s="9" t="s">
        <v>351</v>
      </c>
      <c r="E5" s="9" t="s">
        <v>352</v>
      </c>
    </row>
    <row r="6" customFormat="false" ht="15" hidden="false" customHeight="false" outlineLevel="0" collapsed="false">
      <c r="A6" s="3" t="s">
        <v>353</v>
      </c>
      <c r="B6" s="3"/>
      <c r="C6" s="3"/>
      <c r="D6" s="3"/>
      <c r="E6" s="3"/>
    </row>
    <row r="7" customFormat="false" ht="15" hidden="false" customHeight="false" outlineLevel="0" collapsed="false">
      <c r="A7" s="3" t="s">
        <v>116</v>
      </c>
      <c r="B7" s="3"/>
      <c r="C7" s="3"/>
      <c r="D7" s="3"/>
      <c r="E7" s="3"/>
    </row>
    <row r="8" customFormat="false" ht="23.85" hidden="false" customHeight="false" outlineLevel="0" collapsed="false">
      <c r="A8" s="10" t="s">
        <v>118</v>
      </c>
      <c r="B8" s="10" t="s">
        <v>354</v>
      </c>
      <c r="C8" s="10" t="s">
        <v>355</v>
      </c>
      <c r="D8" s="26" t="n">
        <f aca="false">SUMIFS(02_Buchungsjournal!$G$6:$G$23,02_Buchungsjournal!$E$6:$E$23,"1020")-SUMIFS(02_Buchungsjournal!$G$6:$G$23,02_Buchungsjournal!$F$6:$F$23,"1020")</f>
        <v>52063.9</v>
      </c>
      <c r="E8" s="10"/>
    </row>
    <row r="9" customFormat="false" ht="15" hidden="false" customHeight="false" outlineLevel="0" collapsed="false">
      <c r="A9" s="10" t="s">
        <v>126</v>
      </c>
      <c r="B9" s="10" t="s">
        <v>356</v>
      </c>
      <c r="C9" s="10" t="s">
        <v>357</v>
      </c>
      <c r="D9" s="26" t="n">
        <f aca="false">SUMIFS(02_Buchungsjournal!$G$6:$G$23,02_Buchungsjournal!$E$6:$E$23,"1140")-SUMIFS(02_Buchungsjournal!$G$6:$G$23,02_Buchungsjournal!$F$6:$F$23,"1140")</f>
        <v>0</v>
      </c>
      <c r="E9" s="10"/>
    </row>
    <row r="10" customFormat="false" ht="15" hidden="false" customHeight="false" outlineLevel="0" collapsed="false">
      <c r="A10" s="27"/>
      <c r="B10" s="28" t="s">
        <v>358</v>
      </c>
      <c r="C10" s="27"/>
      <c r="D10" s="27"/>
      <c r="E10" s="29" t="n">
        <f aca="false">SUM(D8:D9)</f>
        <v>52063.9</v>
      </c>
    </row>
    <row r="11" customFormat="false" ht="15" hidden="false" customHeight="false" outlineLevel="0" collapsed="false">
      <c r="A11" s="3" t="s">
        <v>140</v>
      </c>
      <c r="B11" s="3"/>
      <c r="C11" s="3"/>
      <c r="D11" s="3"/>
      <c r="E11" s="3"/>
    </row>
    <row r="12" customFormat="false" ht="15" hidden="false" customHeight="false" outlineLevel="0" collapsed="false">
      <c r="A12" s="10" t="s">
        <v>142</v>
      </c>
      <c r="B12" s="10" t="s">
        <v>359</v>
      </c>
      <c r="C12" s="10" t="s">
        <v>360</v>
      </c>
      <c r="D12" s="26" t="n">
        <f aca="false">SUMIFS(02_Buchungsjournal!$G$6:$G$23,02_Buchungsjournal!$E$6:$E$23,"1600.10")-SUMIFS(02_Buchungsjournal!$G$6:$G$23,02_Buchungsjournal!$F$6:$F$23,"1600.10")</f>
        <v>1885300</v>
      </c>
      <c r="E12" s="10"/>
    </row>
    <row r="13" customFormat="false" ht="15" hidden="false" customHeight="false" outlineLevel="0" collapsed="false">
      <c r="A13" s="10" t="s">
        <v>145</v>
      </c>
      <c r="B13" s="10" t="s">
        <v>361</v>
      </c>
      <c r="C13" s="10" t="s">
        <v>362</v>
      </c>
      <c r="D13" s="26" t="n">
        <f aca="false">SUMIFS(02_Buchungsjournal!$G$6:$G$23,02_Buchungsjournal!$E$6:$E$23,"1600.20")-SUMIFS(02_Buchungsjournal!$G$6:$G$23,02_Buchungsjournal!$F$6:$F$23,"1600.20")</f>
        <v>2965950</v>
      </c>
      <c r="E13" s="10"/>
    </row>
    <row r="14" customFormat="false" ht="15" hidden="false" customHeight="false" outlineLevel="0" collapsed="false">
      <c r="A14" s="10" t="s">
        <v>148</v>
      </c>
      <c r="B14" s="10" t="s">
        <v>149</v>
      </c>
      <c r="C14" s="10" t="s">
        <v>363</v>
      </c>
      <c r="D14" s="26" t="n">
        <f aca="false">SUMIFS(02_Buchungsjournal!$G$6:$G$23,02_Buchungsjournal!$E$6:$E$23,"1600.30")-SUMIFS(02_Buchungsjournal!$G$6:$G$23,02_Buchungsjournal!$F$6:$F$23,"1600.30")</f>
        <v>11255</v>
      </c>
      <c r="E14" s="10"/>
    </row>
    <row r="15" customFormat="false" ht="15" hidden="false" customHeight="false" outlineLevel="0" collapsed="false">
      <c r="A15" s="10" t="s">
        <v>151</v>
      </c>
      <c r="B15" s="10" t="s">
        <v>152</v>
      </c>
      <c r="C15" s="10" t="s">
        <v>364</v>
      </c>
      <c r="D15" s="26" t="n">
        <f aca="false">SUMIFS(02_Buchungsjournal!$G$6:$G$23,02_Buchungsjournal!$E$6:$E$23,"1600.90")-SUMIFS(02_Buchungsjournal!$G$6:$G$23,02_Buchungsjournal!$F$6:$F$23,"1600.90")</f>
        <v>2649.75</v>
      </c>
      <c r="E15" s="10"/>
    </row>
    <row r="16" customFormat="false" ht="15" hidden="false" customHeight="false" outlineLevel="0" collapsed="false">
      <c r="A16" s="10" t="s">
        <v>157</v>
      </c>
      <c r="B16" s="10" t="s">
        <v>365</v>
      </c>
      <c r="C16" s="10" t="s">
        <v>366</v>
      </c>
      <c r="D16" s="26" t="n">
        <f aca="false">SUMIFS(02_Buchungsjournal!$G$6:$G$23,02_Buchungsjournal!$E$6:$E$23,"1610.00")-SUMIFS(02_Buchungsjournal!$G$6:$G$23,02_Buchungsjournal!$F$6:$F$23,"1610.00")</f>
        <v>3406000</v>
      </c>
      <c r="E16" s="10"/>
    </row>
    <row r="17" customFormat="false" ht="15" hidden="false" customHeight="false" outlineLevel="0" collapsed="false">
      <c r="A17" s="10" t="s">
        <v>165</v>
      </c>
      <c r="B17" s="10" t="s">
        <v>367</v>
      </c>
      <c r="C17" s="10" t="s">
        <v>368</v>
      </c>
      <c r="D17" s="26" t="n">
        <f aca="false">SUMIFS(02_Buchungsjournal!$G$6:$G$23,02_Buchungsjournal!$E$6:$E$23,"1610.29")-SUMIFS(02_Buchungsjournal!$G$6:$G$23,02_Buchungsjournal!$F$6:$F$23,"1610.29")</f>
        <v>2005000</v>
      </c>
      <c r="E17" s="10"/>
    </row>
    <row r="18" customFormat="false" ht="15" hidden="false" customHeight="false" outlineLevel="0" collapsed="false">
      <c r="A18" s="27"/>
      <c r="B18" s="28" t="s">
        <v>369</v>
      </c>
      <c r="C18" s="27"/>
      <c r="D18" s="27"/>
      <c r="E18" s="29" t="n">
        <f aca="false">SUM(D12:D17)</f>
        <v>10276154.75</v>
      </c>
    </row>
    <row r="19" customFormat="false" ht="15" hidden="false" customHeight="false" outlineLevel="0" collapsed="false">
      <c r="A19" s="30"/>
      <c r="B19" s="31" t="s">
        <v>370</v>
      </c>
      <c r="C19" s="30"/>
      <c r="D19" s="30"/>
      <c r="E19" s="32" t="n">
        <f aca="false">E10+E18</f>
        <v>10328218.65</v>
      </c>
    </row>
    <row r="21" customFormat="false" ht="15" hidden="false" customHeight="false" outlineLevel="0" collapsed="false">
      <c r="A21" s="3" t="s">
        <v>371</v>
      </c>
      <c r="B21" s="3"/>
      <c r="C21" s="3"/>
      <c r="D21" s="3"/>
      <c r="E21" s="3"/>
    </row>
    <row r="22" customFormat="false" ht="15" hidden="false" customHeight="false" outlineLevel="0" collapsed="false">
      <c r="A22" s="3" t="s">
        <v>372</v>
      </c>
      <c r="B22" s="3"/>
      <c r="C22" s="3"/>
      <c r="D22" s="3"/>
      <c r="E22" s="3"/>
    </row>
    <row r="23" customFormat="false" ht="23.85" hidden="false" customHeight="false" outlineLevel="0" collapsed="false">
      <c r="A23" s="10" t="s">
        <v>183</v>
      </c>
      <c r="B23" s="10" t="s">
        <v>184</v>
      </c>
      <c r="C23" s="10" t="s">
        <v>373</v>
      </c>
      <c r="D23" s="26" t="n">
        <f aca="false">SUMIFS(02_Buchungsjournal!$G$6:$G$23,02_Buchungsjournal!$F$6:$F$23,"2000.10")-SUMIFS(02_Buchungsjournal!$G$6:$G$23,02_Buchungsjournal!$E$6:$E$23,"2000.10")</f>
        <v>1885300</v>
      </c>
      <c r="E23" s="10"/>
    </row>
    <row r="24" customFormat="false" ht="23.85" hidden="false" customHeight="false" outlineLevel="0" collapsed="false">
      <c r="A24" s="10" t="s">
        <v>186</v>
      </c>
      <c r="B24" s="10" t="s">
        <v>187</v>
      </c>
      <c r="C24" s="10" t="s">
        <v>374</v>
      </c>
      <c r="D24" s="26" t="n">
        <f aca="false">SUMIFS(02_Buchungsjournal!$G$6:$G$23,02_Buchungsjournal!$F$6:$F$23,"2000.20")-SUMIFS(02_Buchungsjournal!$G$6:$G$23,02_Buchungsjournal!$E$6:$E$23,"2000.20")</f>
        <v>2977205</v>
      </c>
      <c r="E24" s="10"/>
    </row>
    <row r="25" customFormat="false" ht="15" hidden="false" customHeight="false" outlineLevel="0" collapsed="false">
      <c r="A25" s="27"/>
      <c r="B25" s="28" t="s">
        <v>375</v>
      </c>
      <c r="C25" s="27"/>
      <c r="D25" s="27"/>
      <c r="E25" s="29" t="n">
        <f aca="false">SUM(D23:D24)</f>
        <v>4862505</v>
      </c>
    </row>
    <row r="26" customFormat="false" ht="15" hidden="false" customHeight="false" outlineLevel="0" collapsed="false">
      <c r="A26" s="3" t="s">
        <v>376</v>
      </c>
      <c r="B26" s="3"/>
      <c r="C26" s="3"/>
      <c r="D26" s="3"/>
      <c r="E26" s="3"/>
    </row>
    <row r="27" customFormat="false" ht="23.85" hidden="false" customHeight="false" outlineLevel="0" collapsed="false">
      <c r="A27" s="10" t="s">
        <v>206</v>
      </c>
      <c r="B27" s="10" t="s">
        <v>377</v>
      </c>
      <c r="C27" s="10" t="s">
        <v>378</v>
      </c>
      <c r="D27" s="26" t="n">
        <f aca="false">SUMIFS(02_Buchungsjournal!$G$6:$G$23,02_Buchungsjournal!$F$6:$F$23,"2450.10")-SUMIFS(02_Buchungsjournal!$G$6:$G$23,02_Buchungsjournal!$E$6:$E$23,"2450.10")</f>
        <v>3406000</v>
      </c>
      <c r="E27" s="10"/>
    </row>
    <row r="28" customFormat="false" ht="23.85" hidden="false" customHeight="false" outlineLevel="0" collapsed="false">
      <c r="A28" s="10" t="s">
        <v>209</v>
      </c>
      <c r="B28" s="10" t="s">
        <v>379</v>
      </c>
      <c r="C28" s="10" t="s">
        <v>380</v>
      </c>
      <c r="D28" s="26" t="n">
        <f aca="false">SUMIFS(02_Buchungsjournal!$G$6:$G$23,02_Buchungsjournal!$F$6:$F$23,"2450.20")-SUMIFS(02_Buchungsjournal!$G$6:$G$23,02_Buchungsjournal!$E$6:$E$23,"2450.20")</f>
        <v>1960000</v>
      </c>
      <c r="E28" s="10"/>
    </row>
    <row r="29" customFormat="false" ht="15" hidden="false" customHeight="false" outlineLevel="0" collapsed="false">
      <c r="A29" s="27"/>
      <c r="B29" s="28" t="s">
        <v>381</v>
      </c>
      <c r="C29" s="27"/>
      <c r="D29" s="27"/>
      <c r="E29" s="29" t="n">
        <f aca="false">SUM(D27:D28)</f>
        <v>5366000</v>
      </c>
    </row>
    <row r="30" customFormat="false" ht="15" hidden="false" customHeight="false" outlineLevel="0" collapsed="false">
      <c r="A30" s="27"/>
      <c r="B30" s="28" t="s">
        <v>382</v>
      </c>
      <c r="C30" s="27"/>
      <c r="D30" s="27"/>
      <c r="E30" s="29" t="n">
        <f aca="false">E25+E29</f>
        <v>10228505</v>
      </c>
    </row>
    <row r="31" customFormat="false" ht="15" hidden="false" customHeight="false" outlineLevel="0" collapsed="false">
      <c r="A31" s="3" t="s">
        <v>215</v>
      </c>
      <c r="B31" s="3"/>
      <c r="C31" s="3"/>
      <c r="D31" s="3"/>
      <c r="E31" s="3"/>
    </row>
    <row r="32" customFormat="false" ht="15" hidden="false" customHeight="false" outlineLevel="0" collapsed="false">
      <c r="A32" s="10" t="s">
        <v>214</v>
      </c>
      <c r="B32" s="10" t="s">
        <v>11</v>
      </c>
      <c r="C32" s="10" t="s">
        <v>383</v>
      </c>
      <c r="D32" s="26" t="n">
        <f aca="false">SUMIFS(02_Buchungsjournal!$G$6:$G$23,02_Buchungsjournal!$F$6:$F$23,"2800")-SUMIFS(02_Buchungsjournal!$G$6:$G$23,02_Buchungsjournal!$E$6:$E$23,"2800")</f>
        <v>100000</v>
      </c>
      <c r="E32" s="10"/>
    </row>
    <row r="33" customFormat="false" ht="15" hidden="false" customHeight="false" outlineLevel="0" collapsed="false">
      <c r="A33" s="10" t="s">
        <v>222</v>
      </c>
      <c r="B33" s="10" t="s">
        <v>384</v>
      </c>
      <c r="C33" s="10" t="s">
        <v>385</v>
      </c>
      <c r="D33" s="26" t="n">
        <f aca="false">04_Erfolgsrechnung!E$100</f>
        <v>-286.35</v>
      </c>
      <c r="E33" s="10"/>
    </row>
    <row r="34" customFormat="false" ht="15" hidden="false" customHeight="false" outlineLevel="0" collapsed="false">
      <c r="A34" s="27"/>
      <c r="B34" s="28" t="s">
        <v>386</v>
      </c>
      <c r="C34" s="27"/>
      <c r="D34" s="27"/>
      <c r="E34" s="29" t="n">
        <f aca="false">SUM(D32:D33)</f>
        <v>99713.65</v>
      </c>
    </row>
    <row r="35" customFormat="false" ht="15" hidden="false" customHeight="false" outlineLevel="0" collapsed="false">
      <c r="A35" s="30"/>
      <c r="B35" s="31" t="s">
        <v>387</v>
      </c>
      <c r="C35" s="30"/>
      <c r="D35" s="30"/>
      <c r="E35" s="32" t="n">
        <f aca="false">E30+E34</f>
        <v>10328218.65</v>
      </c>
    </row>
    <row r="37" customFormat="false" ht="15" hidden="false" customHeight="false" outlineLevel="0" collapsed="false">
      <c r="B37" s="4" t="s">
        <v>388</v>
      </c>
      <c r="E37" s="33" t="n">
        <f aca="false">E19-E35</f>
        <v>0</v>
      </c>
    </row>
    <row r="39" customFormat="false" ht="15" hidden="false" customHeight="false" outlineLevel="0" collapsed="false">
      <c r="A39" s="3" t="s">
        <v>389</v>
      </c>
      <c r="B39" s="3"/>
      <c r="C39" s="3"/>
      <c r="D39" s="3"/>
      <c r="E39" s="3"/>
    </row>
    <row r="40" customFormat="false" ht="15" hidden="false" customHeight="false" outlineLevel="0" collapsed="false">
      <c r="A40" s="10"/>
      <c r="B40" s="10" t="s">
        <v>390</v>
      </c>
      <c r="C40" s="10" t="s">
        <v>391</v>
      </c>
      <c r="D40" s="10"/>
      <c r="E40" s="34" t="n">
        <f aca="false">E34/E19</f>
        <v>0.00965448673958892</v>
      </c>
    </row>
    <row r="41" customFormat="false" ht="23.85" hidden="false" customHeight="false" outlineLevel="0" collapsed="false">
      <c r="A41" s="10"/>
      <c r="B41" s="10" t="s">
        <v>392</v>
      </c>
      <c r="C41" s="10" t="s">
        <v>393</v>
      </c>
      <c r="D41" s="10"/>
      <c r="E41" s="35" t="n">
        <f aca="false">E34-50000</f>
        <v>49713.65</v>
      </c>
    </row>
    <row r="42" customFormat="false" ht="15" hidden="false" customHeight="false" outlineLevel="0" collapsed="false">
      <c r="A42" s="10"/>
      <c r="B42" s="10" t="s">
        <v>394</v>
      </c>
      <c r="C42" s="10" t="s">
        <v>395</v>
      </c>
      <c r="D42" s="10"/>
      <c r="E42" s="35" t="n">
        <f aca="false">E29</f>
        <v>5366000</v>
      </c>
    </row>
    <row r="43" customFormat="false" ht="15" hidden="false" customHeight="false" outlineLevel="0" collapsed="false">
      <c r="A43" s="10"/>
      <c r="B43" s="10" t="s">
        <v>396</v>
      </c>
      <c r="C43" s="10" t="s">
        <v>397</v>
      </c>
      <c r="D43" s="10"/>
      <c r="E43" s="35" t="n">
        <f aca="false">E18/11375</f>
        <v>903.39821978022</v>
      </c>
    </row>
    <row r="45" customFormat="false" ht="78" hidden="false" customHeight="true" outlineLevel="0" collapsed="false">
      <c r="A45" s="36" t="s">
        <v>398</v>
      </c>
      <c r="B45" s="36"/>
      <c r="C45" s="36"/>
      <c r="D45" s="36"/>
      <c r="E45" s="36"/>
    </row>
  </sheetData>
  <mergeCells count="10">
    <mergeCell ref="A2:E2"/>
    <mergeCell ref="A6:E6"/>
    <mergeCell ref="A7:E7"/>
    <mergeCell ref="A11:E11"/>
    <mergeCell ref="A21:E21"/>
    <mergeCell ref="A22:E22"/>
    <mergeCell ref="A26:E26"/>
    <mergeCell ref="A31:E31"/>
    <mergeCell ref="A39:E39"/>
    <mergeCell ref="A45:E4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E10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54"/>
    <col collapsed="false" customWidth="true" hidden="false" outlineLevel="0" max="3" min="3" style="0" width="66"/>
    <col collapsed="false" customWidth="true" hidden="false" outlineLevel="0" max="4" min="4" style="0" width="17"/>
    <col collapsed="false" customWidth="true" hidden="false" outlineLevel="0" max="5" min="5" style="0" width="19"/>
  </cols>
  <sheetData>
    <row r="2" customFormat="false" ht="24" hidden="false" customHeight="true" outlineLevel="0" collapsed="false">
      <c r="A2" s="1" t="s">
        <v>399</v>
      </c>
      <c r="B2" s="1"/>
      <c r="C2" s="1"/>
      <c r="D2" s="1"/>
      <c r="E2" s="1"/>
    </row>
    <row r="3" customFormat="false" ht="15" hidden="false" customHeight="false" outlineLevel="0" collapsed="false">
      <c r="A3" s="25" t="s">
        <v>400</v>
      </c>
    </row>
    <row r="5" customFormat="false" ht="30" hidden="false" customHeight="true" outlineLevel="0" collapsed="false">
      <c r="A5" s="9" t="s">
        <v>108</v>
      </c>
      <c r="B5" s="9" t="s">
        <v>349</v>
      </c>
      <c r="C5" s="9" t="s">
        <v>350</v>
      </c>
      <c r="D5" s="9" t="s">
        <v>351</v>
      </c>
      <c r="E5" s="9" t="s">
        <v>352</v>
      </c>
    </row>
    <row r="6" customFormat="false" ht="15" hidden="false" customHeight="false" outlineLevel="0" collapsed="false">
      <c r="A6" s="3" t="s">
        <v>401</v>
      </c>
      <c r="B6" s="3"/>
      <c r="C6" s="3"/>
      <c r="D6" s="3"/>
      <c r="E6" s="3"/>
    </row>
    <row r="7" customFormat="false" ht="15" hidden="false" customHeight="false" outlineLevel="0" collapsed="false">
      <c r="A7" s="10" t="s">
        <v>224</v>
      </c>
      <c r="B7" s="10" t="s">
        <v>402</v>
      </c>
      <c r="C7" s="10" t="s">
        <v>403</v>
      </c>
      <c r="D7" s="26" t="n">
        <f aca="false">SUMIFS(02_Buchungsjournal!$G$6:$G$23,02_Buchungsjournal!$F$6:$F$23,"3000")-SUMIFS(02_Buchungsjournal!$G$6:$G$23,02_Buchungsjournal!$E$6:$E$23,"3000")</f>
        <v>0</v>
      </c>
      <c r="E7" s="10"/>
    </row>
    <row r="8" customFormat="false" ht="23.85" hidden="false" customHeight="false" outlineLevel="0" collapsed="false">
      <c r="A8" s="10" t="s">
        <v>232</v>
      </c>
      <c r="B8" s="10" t="s">
        <v>404</v>
      </c>
      <c r="C8" s="10" t="s">
        <v>405</v>
      </c>
      <c r="D8" s="26" t="n">
        <f aca="false">SUMIFS(02_Buchungsjournal!$G$6:$G$23,02_Buchungsjournal!$F$6:$F$23,"3700")-SUMIFS(02_Buchungsjournal!$G$6:$G$23,02_Buchungsjournal!$E$6:$E$23,"3700")</f>
        <v>5411000</v>
      </c>
      <c r="E8" s="10"/>
    </row>
    <row r="9" customFormat="false" ht="15" hidden="false" customHeight="false" outlineLevel="0" collapsed="false">
      <c r="A9" s="27"/>
      <c r="B9" s="28" t="s">
        <v>406</v>
      </c>
      <c r="C9" s="27"/>
      <c r="D9" s="27"/>
      <c r="E9" s="29" t="n">
        <f aca="false">SUM(D7:D8)</f>
        <v>5411000</v>
      </c>
    </row>
    <row r="10" customFormat="false" ht="15" hidden="false" customHeight="false" outlineLevel="0" collapsed="false">
      <c r="A10" s="3" t="s">
        <v>407</v>
      </c>
      <c r="B10" s="3"/>
      <c r="C10" s="3"/>
      <c r="D10" s="3"/>
      <c r="E10" s="3"/>
    </row>
    <row r="11" customFormat="false" ht="23.85" hidden="false" customHeight="false" outlineLevel="0" collapsed="false">
      <c r="A11" s="10" t="s">
        <v>239</v>
      </c>
      <c r="B11" s="10" t="s">
        <v>240</v>
      </c>
      <c r="C11" s="10" t="s">
        <v>408</v>
      </c>
      <c r="D11" s="26" t="n">
        <f aca="false">SUMIFS(02_Buchungsjournal!$G$6:$G$23,02_Buchungsjournal!$E$6:$E$23,"4000.10")-SUMIFS(02_Buchungsjournal!$G$6:$G$23,02_Buchungsjournal!$F$6:$F$23,"4000.10")</f>
        <v>3406000</v>
      </c>
      <c r="E11" s="10"/>
    </row>
    <row r="12" customFormat="false" ht="23.85" hidden="false" customHeight="false" outlineLevel="0" collapsed="false">
      <c r="A12" s="10" t="s">
        <v>244</v>
      </c>
      <c r="B12" s="10" t="s">
        <v>409</v>
      </c>
      <c r="C12" s="10" t="s">
        <v>410</v>
      </c>
      <c r="D12" s="26" t="n">
        <f aca="false">SUMIFS(02_Buchungsjournal!$G$6:$G$23,02_Buchungsjournal!$E$6:$E$23,"4400.10")-SUMIFS(02_Buchungsjournal!$G$6:$G$23,02_Buchungsjournal!$F$6:$F$23,"4400.10")</f>
        <v>1960000</v>
      </c>
      <c r="E12" s="10"/>
    </row>
    <row r="13" customFormat="false" ht="23.85" hidden="false" customHeight="false" outlineLevel="0" collapsed="false">
      <c r="A13" s="10" t="s">
        <v>248</v>
      </c>
      <c r="B13" s="10" t="s">
        <v>411</v>
      </c>
      <c r="C13" s="10" t="s">
        <v>412</v>
      </c>
      <c r="D13" s="26" t="n">
        <f aca="false">SUMIFS(02_Buchungsjournal!$G$6:$G$23,02_Buchungsjournal!$E$6:$E$23,"4400.30")-SUMIFS(02_Buchungsjournal!$G$6:$G$23,02_Buchungsjournal!$F$6:$F$23,"4400.30")</f>
        <v>45000</v>
      </c>
      <c r="E13" s="10"/>
    </row>
    <row r="14" customFormat="false" ht="23.85" hidden="false" customHeight="false" outlineLevel="0" collapsed="false">
      <c r="A14" s="10" t="s">
        <v>261</v>
      </c>
      <c r="B14" s="10" t="s">
        <v>413</v>
      </c>
      <c r="C14" s="10" t="s">
        <v>414</v>
      </c>
      <c r="D14" s="26" t="n">
        <f aca="false">SUMIFS(02_Buchungsjournal!$G$6:$G$23,02_Buchungsjournal!$E$6:$E$23,"6500")-SUMIFS(02_Buchungsjournal!$G$6:$G$23,02_Buchungsjournal!$F$6:$F$23,"6500")</f>
        <v>256.5</v>
      </c>
      <c r="E14" s="10"/>
    </row>
    <row r="15" customFormat="false" ht="23.85" hidden="false" customHeight="false" outlineLevel="0" collapsed="false">
      <c r="A15" s="10" t="s">
        <v>264</v>
      </c>
      <c r="B15" s="10" t="s">
        <v>265</v>
      </c>
      <c r="C15" s="10" t="s">
        <v>415</v>
      </c>
      <c r="D15" s="26" t="n">
        <f aca="false">SUMIFS(02_Buchungsjournal!$G$6:$G$23,02_Buchungsjournal!$E$6:$E$23,"6510")-SUMIFS(02_Buchungsjournal!$G$6:$G$23,02_Buchungsjournal!$F$6:$F$23,"6510")</f>
        <v>0</v>
      </c>
      <c r="E15" s="10"/>
    </row>
    <row r="16" customFormat="false" ht="15" hidden="false" customHeight="false" outlineLevel="0" collapsed="false">
      <c r="A16" s="27"/>
      <c r="B16" s="28" t="s">
        <v>416</v>
      </c>
      <c r="C16" s="27"/>
      <c r="D16" s="27"/>
      <c r="E16" s="29" t="n">
        <f aca="false">SUM(D11:D15)</f>
        <v>5411256.5</v>
      </c>
    </row>
    <row r="17" customFormat="false" ht="15" hidden="false" customHeight="false" outlineLevel="0" collapsed="false">
      <c r="A17" s="27"/>
      <c r="B17" s="28" t="s">
        <v>417</v>
      </c>
      <c r="C17" s="27"/>
      <c r="D17" s="27"/>
      <c r="E17" s="29" t="n">
        <f aca="false">E9-E16</f>
        <v>-256.5</v>
      </c>
    </row>
    <row r="18" customFormat="false" ht="15" hidden="false" customHeight="false" outlineLevel="0" collapsed="false">
      <c r="A18" s="3" t="s">
        <v>418</v>
      </c>
      <c r="B18" s="3"/>
      <c r="C18" s="3"/>
      <c r="D18" s="3"/>
      <c r="E18" s="3"/>
    </row>
    <row r="19" customFormat="false" ht="15" hidden="false" customHeight="false" outlineLevel="0" collapsed="false">
      <c r="A19" s="10" t="s">
        <v>274</v>
      </c>
      <c r="B19" s="10" t="s">
        <v>275</v>
      </c>
      <c r="C19" s="10" t="s">
        <v>419</v>
      </c>
      <c r="D19" s="26" t="n">
        <f aca="false">SUMIFS(02_Buchungsjournal!$G$6:$G$23,02_Buchungsjournal!$E$6:$E$23,"6900.10")-SUMIFS(02_Buchungsjournal!$G$6:$G$23,02_Buchungsjournal!$F$6:$F$23,"6900.10")</f>
        <v>29.85</v>
      </c>
      <c r="E19" s="10"/>
    </row>
    <row r="20" customFormat="false" ht="15" hidden="false" customHeight="false" outlineLevel="0" collapsed="false">
      <c r="A20" s="10" t="s">
        <v>276</v>
      </c>
      <c r="B20" s="10" t="s">
        <v>277</v>
      </c>
      <c r="C20" s="10" t="s">
        <v>420</v>
      </c>
      <c r="D20" s="26" t="n">
        <f aca="false">SUMIFS(02_Buchungsjournal!$G$6:$G$23,02_Buchungsjournal!$E$6:$E$23,"6940")-SUMIFS(02_Buchungsjournal!$G$6:$G$23,02_Buchungsjournal!$F$6:$F$23,"6940")</f>
        <v>0</v>
      </c>
      <c r="E20" s="10"/>
    </row>
    <row r="21" customFormat="false" ht="15" hidden="false" customHeight="false" outlineLevel="0" collapsed="false">
      <c r="A21" s="27"/>
      <c r="B21" s="28" t="s">
        <v>421</v>
      </c>
      <c r="C21" s="27"/>
      <c r="D21" s="27"/>
      <c r="E21" s="29" t="n">
        <f aca="false">SUM(D19:D20)</f>
        <v>29.85</v>
      </c>
    </row>
    <row r="22" customFormat="false" ht="15" hidden="false" customHeight="false" outlineLevel="0" collapsed="false">
      <c r="A22" s="3" t="s">
        <v>422</v>
      </c>
      <c r="B22" s="3"/>
      <c r="C22" s="3"/>
      <c r="D22" s="3"/>
      <c r="E22" s="3"/>
    </row>
    <row r="23" customFormat="false" ht="23.85" hidden="false" customHeight="false" outlineLevel="0" collapsed="false">
      <c r="A23" s="10" t="s">
        <v>281</v>
      </c>
      <c r="B23" s="10" t="s">
        <v>282</v>
      </c>
      <c r="C23" s="10" t="s">
        <v>423</v>
      </c>
      <c r="D23" s="26" t="n">
        <f aca="false">SUMIFS(02_Buchungsjournal!$G$6:$G$23,02_Buchungsjournal!$E$6:$E$23,"8900")-SUMIFS(02_Buchungsjournal!$G$6:$G$23,02_Buchungsjournal!$F$6:$F$23,"8900")</f>
        <v>0</v>
      </c>
      <c r="E23" s="10"/>
    </row>
    <row r="24" customFormat="false" ht="15" hidden="false" customHeight="false" outlineLevel="0" collapsed="false">
      <c r="A24" s="27"/>
      <c r="B24" s="28" t="s">
        <v>424</v>
      </c>
      <c r="C24" s="27"/>
      <c r="D24" s="27"/>
      <c r="E24" s="29" t="n">
        <f aca="false">SUM(D23:D23)</f>
        <v>0</v>
      </c>
    </row>
    <row r="100" customFormat="false" ht="15" hidden="false" customHeight="false" outlineLevel="0" collapsed="false">
      <c r="A100" s="37"/>
      <c r="B100" s="38" t="s">
        <v>425</v>
      </c>
      <c r="C100" s="37"/>
      <c r="D100" s="37"/>
      <c r="E100" s="39" t="n">
        <f aca="false">E17-E21-E24</f>
        <v>-286.35</v>
      </c>
    </row>
    <row r="102" customFormat="false" ht="64.5" hidden="false" customHeight="true" outlineLevel="0" collapsed="false">
      <c r="A102" s="7" t="s">
        <v>426</v>
      </c>
      <c r="B102" s="7"/>
      <c r="C102" s="7"/>
      <c r="D102" s="7"/>
      <c r="E102" s="7"/>
    </row>
  </sheetData>
  <mergeCells count="6">
    <mergeCell ref="A2:E2"/>
    <mergeCell ref="A6:E6"/>
    <mergeCell ref="A10:E10"/>
    <mergeCell ref="A18:E18"/>
    <mergeCell ref="A22:E22"/>
    <mergeCell ref="A102:E10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D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44"/>
    <col collapsed="false" customWidth="true" hidden="false" outlineLevel="0" max="3" min="3" style="0" width="34"/>
    <col collapsed="false" customWidth="true" hidden="false" outlineLevel="0" max="4" min="4" style="0" width="120"/>
  </cols>
  <sheetData>
    <row r="2" customFormat="false" ht="24" hidden="false" customHeight="true" outlineLevel="0" collapsed="false">
      <c r="A2" s="1" t="s">
        <v>427</v>
      </c>
      <c r="B2" s="1"/>
      <c r="C2" s="1"/>
      <c r="D2" s="1"/>
    </row>
    <row r="3" customFormat="false" ht="15" hidden="false" customHeight="false" outlineLevel="0" collapsed="false">
      <c r="A3" s="25" t="s">
        <v>428</v>
      </c>
    </row>
    <row r="5" customFormat="false" ht="64.5" hidden="false" customHeight="true" outlineLevel="0" collapsed="false">
      <c r="A5" s="6" t="s">
        <v>429</v>
      </c>
      <c r="B5" s="6"/>
      <c r="C5" s="6"/>
      <c r="D5" s="6"/>
    </row>
    <row r="7" customFormat="false" ht="30" hidden="false" customHeight="true" outlineLevel="0" collapsed="false">
      <c r="A7" s="9" t="s">
        <v>430</v>
      </c>
      <c r="B7" s="9" t="s">
        <v>431</v>
      </c>
      <c r="C7" s="9" t="s">
        <v>432</v>
      </c>
      <c r="D7" s="9" t="s">
        <v>433</v>
      </c>
    </row>
    <row r="8" customFormat="false" ht="78" hidden="false" customHeight="true" outlineLevel="0" collapsed="false">
      <c r="A8" s="10" t="s">
        <v>434</v>
      </c>
      <c r="B8" s="10" t="s">
        <v>435</v>
      </c>
      <c r="C8" s="10" t="s">
        <v>436</v>
      </c>
      <c r="D8" s="10" t="s">
        <v>437</v>
      </c>
    </row>
    <row r="9" customFormat="false" ht="103.5" hidden="false" customHeight="true" outlineLevel="0" collapsed="false">
      <c r="A9" s="10" t="s">
        <v>438</v>
      </c>
      <c r="B9" s="10" t="s">
        <v>439</v>
      </c>
      <c r="C9" s="10" t="s">
        <v>440</v>
      </c>
      <c r="D9" s="10" t="s">
        <v>441</v>
      </c>
    </row>
    <row r="10" customFormat="false" ht="78" hidden="false" customHeight="true" outlineLevel="0" collapsed="false">
      <c r="A10" s="10" t="s">
        <v>442</v>
      </c>
      <c r="B10" s="10" t="s">
        <v>443</v>
      </c>
      <c r="C10" s="10" t="s">
        <v>444</v>
      </c>
      <c r="D10" s="10" t="s">
        <v>445</v>
      </c>
    </row>
    <row r="11" customFormat="false" ht="78" hidden="false" customHeight="true" outlineLevel="0" collapsed="false">
      <c r="A11" s="16" t="s">
        <v>446</v>
      </c>
      <c r="B11" s="16" t="s">
        <v>447</v>
      </c>
      <c r="C11" s="16" t="s">
        <v>448</v>
      </c>
      <c r="D11" s="16" t="s">
        <v>449</v>
      </c>
    </row>
    <row r="12" customFormat="false" ht="117" hidden="false" customHeight="true" outlineLevel="0" collapsed="false">
      <c r="A12" s="10" t="s">
        <v>450</v>
      </c>
      <c r="B12" s="10" t="s">
        <v>451</v>
      </c>
      <c r="C12" s="10" t="s">
        <v>452</v>
      </c>
      <c r="D12" s="10" t="s">
        <v>453</v>
      </c>
    </row>
    <row r="13" customFormat="false" ht="156" hidden="false" customHeight="true" outlineLevel="0" collapsed="false">
      <c r="A13" s="16" t="s">
        <v>454</v>
      </c>
      <c r="B13" s="16" t="s">
        <v>455</v>
      </c>
      <c r="C13" s="16" t="s">
        <v>456</v>
      </c>
      <c r="D13" s="16" t="s">
        <v>457</v>
      </c>
    </row>
    <row r="14" customFormat="false" ht="103.5" hidden="false" customHeight="true" outlineLevel="0" collapsed="false">
      <c r="A14" s="16" t="s">
        <v>458</v>
      </c>
      <c r="B14" s="16" t="s">
        <v>459</v>
      </c>
      <c r="C14" s="16" t="s">
        <v>456</v>
      </c>
      <c r="D14" s="16" t="s">
        <v>460</v>
      </c>
    </row>
    <row r="15" customFormat="false" ht="90.75" hidden="false" customHeight="true" outlineLevel="0" collapsed="false">
      <c r="A15" s="16" t="s">
        <v>461</v>
      </c>
      <c r="B15" s="16" t="s">
        <v>462</v>
      </c>
      <c r="C15" s="16" t="s">
        <v>456</v>
      </c>
      <c r="D15" s="16" t="s">
        <v>463</v>
      </c>
    </row>
    <row r="16" customFormat="false" ht="78" hidden="false" customHeight="true" outlineLevel="0" collapsed="false">
      <c r="A16" s="16" t="s">
        <v>464</v>
      </c>
      <c r="B16" s="16" t="s">
        <v>465</v>
      </c>
      <c r="C16" s="16" t="s">
        <v>466</v>
      </c>
      <c r="D16" s="16" t="s">
        <v>467</v>
      </c>
    </row>
    <row r="17" customFormat="false" ht="64.5" hidden="false" customHeight="true" outlineLevel="0" collapsed="false">
      <c r="A17" s="16" t="s">
        <v>468</v>
      </c>
      <c r="B17" s="16" t="s">
        <v>469</v>
      </c>
      <c r="C17" s="16" t="s">
        <v>456</v>
      </c>
      <c r="D17" s="16" t="s">
        <v>470</v>
      </c>
    </row>
    <row r="18" customFormat="false" ht="51.75" hidden="false" customHeight="true" outlineLevel="0" collapsed="false">
      <c r="A18" s="10" t="s">
        <v>471</v>
      </c>
      <c r="B18" s="10" t="s">
        <v>472</v>
      </c>
      <c r="C18" s="10" t="s">
        <v>473</v>
      </c>
      <c r="D18" s="10" t="s">
        <v>474</v>
      </c>
    </row>
    <row r="19" customFormat="false" ht="30" hidden="false" customHeight="true" outlineLevel="0" collapsed="false">
      <c r="A19" s="10" t="s">
        <v>475</v>
      </c>
      <c r="B19" s="10" t="s">
        <v>476</v>
      </c>
      <c r="C19" s="10" t="s">
        <v>477</v>
      </c>
      <c r="D19" s="10" t="s">
        <v>478</v>
      </c>
    </row>
    <row r="20" customFormat="false" ht="30" hidden="false" customHeight="true" outlineLevel="0" collapsed="false">
      <c r="A20" s="10" t="s">
        <v>479</v>
      </c>
      <c r="B20" s="10" t="s">
        <v>480</v>
      </c>
      <c r="C20" s="10" t="s">
        <v>481</v>
      </c>
      <c r="D20" s="10" t="s">
        <v>482</v>
      </c>
    </row>
    <row r="21" customFormat="false" ht="117" hidden="false" customHeight="true" outlineLevel="0" collapsed="false">
      <c r="A21" s="16" t="s">
        <v>483</v>
      </c>
      <c r="B21" s="16" t="s">
        <v>484</v>
      </c>
      <c r="C21" s="16" t="s">
        <v>485</v>
      </c>
      <c r="D21" s="16" t="s">
        <v>486</v>
      </c>
    </row>
    <row r="22" customFormat="false" ht="51.75" hidden="false" customHeight="true" outlineLevel="0" collapsed="false">
      <c r="A22" s="16" t="s">
        <v>487</v>
      </c>
      <c r="B22" s="16" t="s">
        <v>488</v>
      </c>
      <c r="C22" s="16" t="s">
        <v>489</v>
      </c>
      <c r="D22" s="16" t="s">
        <v>490</v>
      </c>
    </row>
    <row r="23" customFormat="false" ht="78" hidden="false" customHeight="true" outlineLevel="0" collapsed="false">
      <c r="A23" s="10" t="s">
        <v>491</v>
      </c>
      <c r="B23" s="10" t="s">
        <v>492</v>
      </c>
      <c r="C23" s="10" t="s">
        <v>493</v>
      </c>
      <c r="D23" s="10" t="s">
        <v>494</v>
      </c>
    </row>
    <row r="24" customFormat="false" ht="78" hidden="false" customHeight="true" outlineLevel="0" collapsed="false">
      <c r="A24" s="10" t="s">
        <v>495</v>
      </c>
      <c r="B24" s="10" t="s">
        <v>17</v>
      </c>
      <c r="C24" s="10" t="s">
        <v>496</v>
      </c>
      <c r="D24" s="10" t="s">
        <v>497</v>
      </c>
    </row>
    <row r="26" customFormat="false" ht="15" hidden="false" customHeight="false" outlineLevel="0" collapsed="false">
      <c r="A26" s="3" t="s">
        <v>498</v>
      </c>
      <c r="B26" s="3"/>
      <c r="C26" s="3"/>
      <c r="D26" s="3"/>
    </row>
    <row r="27" customFormat="false" ht="30" hidden="false" customHeight="true" outlineLevel="0" collapsed="false">
      <c r="A27" s="9"/>
      <c r="B27" s="9" t="s">
        <v>349</v>
      </c>
      <c r="C27" s="9" t="s">
        <v>499</v>
      </c>
      <c r="D27" s="9"/>
    </row>
    <row r="28" customFormat="false" ht="15" hidden="false" customHeight="false" outlineLevel="0" collapsed="false">
      <c r="A28" s="10"/>
      <c r="B28" s="10" t="s">
        <v>11</v>
      </c>
      <c r="C28" s="40" t="s">
        <v>500</v>
      </c>
      <c r="D28" s="10"/>
    </row>
    <row r="29" customFormat="false" ht="15" hidden="false" customHeight="false" outlineLevel="0" collapsed="false">
      <c r="A29" s="10"/>
      <c r="B29" s="10" t="s">
        <v>218</v>
      </c>
      <c r="C29" s="40" t="s">
        <v>501</v>
      </c>
      <c r="D29" s="10"/>
    </row>
    <row r="30" customFormat="false" ht="15" hidden="false" customHeight="false" outlineLevel="0" collapsed="false">
      <c r="A30" s="10"/>
      <c r="B30" s="10" t="s">
        <v>223</v>
      </c>
      <c r="C30" s="40" t="s">
        <v>502</v>
      </c>
      <c r="D30" s="10"/>
    </row>
    <row r="31" customFormat="false" ht="15" hidden="false" customHeight="false" outlineLevel="0" collapsed="false">
      <c r="A31" s="41"/>
      <c r="B31" s="41" t="s">
        <v>386</v>
      </c>
      <c r="C31" s="42" t="s">
        <v>503</v>
      </c>
      <c r="D31" s="41"/>
    </row>
    <row r="33" customFormat="false" ht="64.5" hidden="false" customHeight="true" outlineLevel="0" collapsed="false">
      <c r="A33" s="7" t="s">
        <v>504</v>
      </c>
      <c r="B33" s="7"/>
      <c r="C33" s="7"/>
      <c r="D33" s="7"/>
    </row>
  </sheetData>
  <mergeCells count="4">
    <mergeCell ref="A2:D2"/>
    <mergeCell ref="A5:D5"/>
    <mergeCell ref="A26:D26"/>
    <mergeCell ref="A33:D3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E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78"/>
    <col collapsed="false" customWidth="true" hidden="false" outlineLevel="0" max="3" min="3" style="0" width="17"/>
    <col collapsed="false" customWidth="true" hidden="false" outlineLevel="0" max="4" min="4" style="0" width="52"/>
    <col collapsed="false" customWidth="true" hidden="false" outlineLevel="0" max="5" min="5" style="0" width="4"/>
  </cols>
  <sheetData>
    <row r="2" customFormat="false" ht="24" hidden="false" customHeight="true" outlineLevel="0" collapsed="false">
      <c r="A2" s="1" t="s">
        <v>505</v>
      </c>
      <c r="B2" s="1"/>
      <c r="C2" s="1"/>
      <c r="D2" s="1"/>
      <c r="E2" s="1"/>
    </row>
    <row r="3" customFormat="false" ht="64.5" hidden="false" customHeight="true" outlineLevel="0" collapsed="false">
      <c r="A3" s="6" t="s">
        <v>506</v>
      </c>
      <c r="B3" s="6"/>
      <c r="C3" s="6"/>
      <c r="D3" s="6"/>
      <c r="E3" s="6"/>
    </row>
    <row r="5" customFormat="false" ht="30" hidden="false" customHeight="true" outlineLevel="0" collapsed="false">
      <c r="A5" s="9" t="s">
        <v>293</v>
      </c>
      <c r="B5" s="9" t="s">
        <v>349</v>
      </c>
      <c r="C5" s="9" t="s">
        <v>351</v>
      </c>
      <c r="D5" s="9" t="s">
        <v>507</v>
      </c>
      <c r="E5" s="9"/>
    </row>
    <row r="6" customFormat="false" ht="15" hidden="false" customHeight="false" outlineLevel="0" collapsed="false">
      <c r="A6" s="15" t="s">
        <v>315</v>
      </c>
      <c r="B6" s="15" t="s">
        <v>508</v>
      </c>
      <c r="C6" s="43" t="n">
        <v>1735300</v>
      </c>
      <c r="D6" s="15" t="s">
        <v>509</v>
      </c>
      <c r="E6" s="15"/>
    </row>
    <row r="7" customFormat="false" ht="15" hidden="false" customHeight="false" outlineLevel="0" collapsed="false">
      <c r="A7" s="15" t="s">
        <v>315</v>
      </c>
      <c r="B7" s="15" t="s">
        <v>510</v>
      </c>
      <c r="C7" s="43" t="n">
        <v>2245950</v>
      </c>
      <c r="D7" s="15" t="s">
        <v>509</v>
      </c>
      <c r="E7" s="15"/>
    </row>
    <row r="8" customFormat="false" ht="15" hidden="false" customHeight="false" outlineLevel="0" collapsed="false">
      <c r="A8" s="15" t="s">
        <v>315</v>
      </c>
      <c r="B8" s="15" t="s">
        <v>511</v>
      </c>
      <c r="C8" s="43" t="n">
        <v>11255</v>
      </c>
      <c r="D8" s="15" t="s">
        <v>509</v>
      </c>
      <c r="E8" s="15"/>
    </row>
    <row r="9" customFormat="false" ht="15" hidden="false" customHeight="false" outlineLevel="0" collapsed="false">
      <c r="A9" s="15" t="s">
        <v>315</v>
      </c>
      <c r="B9" s="15" t="s">
        <v>512</v>
      </c>
      <c r="C9" s="43" t="n">
        <v>2649.75</v>
      </c>
      <c r="D9" s="15" t="s">
        <v>314</v>
      </c>
      <c r="E9" s="15"/>
    </row>
    <row r="10" customFormat="false" ht="15" hidden="false" customHeight="false" outlineLevel="0" collapsed="false">
      <c r="A10" s="15" t="s">
        <v>315</v>
      </c>
      <c r="B10" s="15" t="s">
        <v>513</v>
      </c>
      <c r="C10" s="43" t="n">
        <v>1250000</v>
      </c>
      <c r="D10" s="15" t="s">
        <v>514</v>
      </c>
      <c r="E10" s="15"/>
    </row>
    <row r="11" customFormat="false" ht="15" hidden="false" customHeight="false" outlineLevel="0" collapsed="false">
      <c r="A11" s="15" t="s">
        <v>315</v>
      </c>
      <c r="B11" s="15" t="s">
        <v>515</v>
      </c>
      <c r="C11" s="43" t="n">
        <v>2156000</v>
      </c>
      <c r="D11" s="15" t="s">
        <v>514</v>
      </c>
      <c r="E11" s="15"/>
    </row>
    <row r="12" customFormat="false" ht="15" hidden="false" customHeight="false" outlineLevel="0" collapsed="false">
      <c r="A12" s="18" t="s">
        <v>320</v>
      </c>
      <c r="B12" s="18" t="s">
        <v>516</v>
      </c>
      <c r="C12" s="19" t="n">
        <v>150000</v>
      </c>
      <c r="D12" s="18" t="s">
        <v>517</v>
      </c>
      <c r="E12" s="18"/>
    </row>
    <row r="13" customFormat="false" ht="15" hidden="false" customHeight="false" outlineLevel="0" collapsed="false">
      <c r="A13" s="18" t="s">
        <v>320</v>
      </c>
      <c r="B13" s="18" t="s">
        <v>518</v>
      </c>
      <c r="C13" s="19" t="n">
        <v>720000</v>
      </c>
      <c r="D13" s="18" t="s">
        <v>517</v>
      </c>
      <c r="E13" s="18"/>
    </row>
    <row r="14" customFormat="false" ht="15" hidden="false" customHeight="false" outlineLevel="0" collapsed="false">
      <c r="A14" s="18" t="s">
        <v>320</v>
      </c>
      <c r="B14" s="18" t="s">
        <v>519</v>
      </c>
      <c r="C14" s="19" t="n">
        <v>1960000</v>
      </c>
      <c r="D14" s="18" t="s">
        <v>520</v>
      </c>
      <c r="E14" s="18"/>
    </row>
    <row r="15" customFormat="false" ht="15" hidden="false" customHeight="false" outlineLevel="0" collapsed="false">
      <c r="A15" s="18" t="s">
        <v>320</v>
      </c>
      <c r="B15" s="18" t="s">
        <v>249</v>
      </c>
      <c r="C15" s="19" t="n">
        <v>45000</v>
      </c>
      <c r="D15" s="18" t="s">
        <v>521</v>
      </c>
      <c r="E15" s="18"/>
    </row>
    <row r="16" customFormat="false" ht="15" hidden="false" customHeight="false" outlineLevel="0" collapsed="false">
      <c r="A16" s="44"/>
      <c r="B16" s="45" t="s">
        <v>522</v>
      </c>
      <c r="C16" s="46" t="n">
        <f aca="false">SUMIFS(C6:C15,A6:A15,"BKP 0")</f>
        <v>7401154.75</v>
      </c>
      <c r="D16" s="44"/>
    </row>
    <row r="17" customFormat="false" ht="15" hidden="false" customHeight="false" outlineLevel="0" collapsed="false">
      <c r="A17" s="44"/>
      <c r="B17" s="45" t="s">
        <v>523</v>
      </c>
      <c r="C17" s="46" t="n">
        <f aca="false">SUMIFS(C6:C15,A6:A15,"BKP 296")</f>
        <v>2875000</v>
      </c>
      <c r="D17" s="44"/>
    </row>
    <row r="18" customFormat="false" ht="15" hidden="false" customHeight="false" outlineLevel="0" collapsed="false">
      <c r="A18" s="37"/>
      <c r="B18" s="47" t="s">
        <v>524</v>
      </c>
      <c r="C18" s="39" t="n">
        <f aca="false">SUM(C6:C15)</f>
        <v>10276154.75</v>
      </c>
      <c r="D18" s="37"/>
    </row>
    <row r="20" customFormat="false" ht="15" hidden="false" customHeight="false" outlineLevel="0" collapsed="false">
      <c r="B20" s="4" t="s">
        <v>525</v>
      </c>
      <c r="C20" s="33" t="n">
        <f aca="false">C18-03_Bilanz!E18</f>
        <v>0</v>
      </c>
      <c r="D20" s="48" t="s">
        <v>526</v>
      </c>
    </row>
    <row r="22" customFormat="false" ht="15" hidden="false" customHeight="false" outlineLevel="0" collapsed="false">
      <c r="A22" s="3" t="s">
        <v>527</v>
      </c>
      <c r="B22" s="3"/>
      <c r="C22" s="3"/>
      <c r="D22" s="3"/>
      <c r="E22" s="3"/>
    </row>
    <row r="23" customFormat="false" ht="30" hidden="false" customHeight="true" outlineLevel="0" collapsed="false">
      <c r="A23" s="9" t="s">
        <v>293</v>
      </c>
      <c r="B23" s="9" t="s">
        <v>109</v>
      </c>
      <c r="C23" s="9" t="s">
        <v>351</v>
      </c>
      <c r="D23" s="9" t="s">
        <v>528</v>
      </c>
      <c r="E23" s="9"/>
    </row>
    <row r="24" customFormat="false" ht="15" hidden="false" customHeight="false" outlineLevel="0" collapsed="false">
      <c r="A24" s="10" t="s">
        <v>434</v>
      </c>
      <c r="B24" s="10" t="s">
        <v>529</v>
      </c>
      <c r="C24" s="49" t="n">
        <v>646815</v>
      </c>
      <c r="D24" s="10" t="s">
        <v>530</v>
      </c>
      <c r="E24" s="10"/>
    </row>
    <row r="25" customFormat="false" ht="15" hidden="false" customHeight="false" outlineLevel="0" collapsed="false">
      <c r="A25" s="10" t="s">
        <v>438</v>
      </c>
      <c r="B25" s="10" t="s">
        <v>531</v>
      </c>
      <c r="C25" s="49" t="n">
        <v>26193403</v>
      </c>
      <c r="D25" s="10" t="s">
        <v>530</v>
      </c>
      <c r="E25" s="10"/>
    </row>
    <row r="26" customFormat="false" ht="15" hidden="false" customHeight="false" outlineLevel="0" collapsed="false">
      <c r="A26" s="10" t="s">
        <v>446</v>
      </c>
      <c r="B26" s="10" t="s">
        <v>532</v>
      </c>
      <c r="C26" s="49" t="n">
        <v>853099</v>
      </c>
      <c r="D26" s="10" t="s">
        <v>530</v>
      </c>
      <c r="E26" s="10"/>
    </row>
    <row r="27" customFormat="false" ht="15" hidden="false" customHeight="false" outlineLevel="0" collapsed="false">
      <c r="A27" s="10" t="s">
        <v>450</v>
      </c>
      <c r="B27" s="10" t="s">
        <v>533</v>
      </c>
      <c r="C27" s="49" t="n">
        <v>621263</v>
      </c>
      <c r="D27" s="10" t="s">
        <v>534</v>
      </c>
      <c r="E27" s="10"/>
    </row>
    <row r="28" customFormat="false" ht="15" hidden="false" customHeight="false" outlineLevel="0" collapsed="false">
      <c r="A28" s="10" t="s">
        <v>454</v>
      </c>
      <c r="B28" s="10" t="s">
        <v>535</v>
      </c>
      <c r="C28" s="49" t="n">
        <v>1360650</v>
      </c>
      <c r="D28" s="10" t="s">
        <v>530</v>
      </c>
      <c r="E28" s="10"/>
    </row>
    <row r="29" customFormat="false" ht="15" hidden="false" customHeight="false" outlineLevel="0" collapsed="false">
      <c r="A29" s="10" t="s">
        <v>458</v>
      </c>
      <c r="B29" s="10" t="s">
        <v>536</v>
      </c>
      <c r="C29" s="49" t="n">
        <v>862724</v>
      </c>
      <c r="D29" s="10" t="s">
        <v>530</v>
      </c>
      <c r="E29" s="10"/>
    </row>
    <row r="30" customFormat="false" ht="15" hidden="false" customHeight="false" outlineLevel="0" collapsed="false">
      <c r="A30" s="10" t="s">
        <v>461</v>
      </c>
      <c r="B30" s="10" t="s">
        <v>537</v>
      </c>
      <c r="C30" s="49" t="n">
        <v>-137000</v>
      </c>
      <c r="D30" s="10" t="s">
        <v>538</v>
      </c>
      <c r="E30" s="10"/>
    </row>
    <row r="31" customFormat="false" ht="15" hidden="false" customHeight="false" outlineLevel="0" collapsed="false">
      <c r="A31" s="44"/>
      <c r="B31" s="45" t="s">
        <v>539</v>
      </c>
      <c r="C31" s="50" t="n">
        <f aca="false">SUM(C24:C30)</f>
        <v>30400954</v>
      </c>
      <c r="D31" s="44"/>
    </row>
    <row r="33" customFormat="false" ht="64.5" hidden="false" customHeight="true" outlineLevel="0" collapsed="false">
      <c r="A33" s="36" t="s">
        <v>540</v>
      </c>
      <c r="B33" s="36"/>
      <c r="C33" s="36"/>
      <c r="D33" s="36"/>
      <c r="E33" s="36"/>
    </row>
  </sheetData>
  <mergeCells count="4">
    <mergeCell ref="A2:E2"/>
    <mergeCell ref="A3:E3"/>
    <mergeCell ref="A22:E22"/>
    <mergeCell ref="A33:E3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24"/>
    <col collapsed="false" customWidth="true" hidden="false" outlineLevel="0" max="3" min="3" style="0" width="90"/>
    <col collapsed="false" customWidth="true" hidden="false" outlineLevel="0" max="4" min="4" style="0" width="11"/>
    <col collapsed="false" customWidth="true" hidden="false" outlineLevel="0" max="5" min="5" style="0" width="12"/>
    <col collapsed="false" customWidth="true" hidden="false" outlineLevel="0" max="6" min="6" style="0" width="17"/>
    <col collapsed="false" customWidth="true" hidden="false" outlineLevel="0" max="7" min="7" style="0" width="19"/>
    <col collapsed="false" customWidth="true" hidden="false" outlineLevel="0" max="8" min="8" style="0" width="18"/>
  </cols>
  <sheetData>
    <row r="2" customFormat="false" ht="24" hidden="false" customHeight="true" outlineLevel="0" collapsed="false">
      <c r="A2" s="1" t="s">
        <v>541</v>
      </c>
      <c r="B2" s="1"/>
      <c r="C2" s="1"/>
      <c r="D2" s="1"/>
      <c r="E2" s="1"/>
      <c r="F2" s="1"/>
      <c r="G2" s="1"/>
      <c r="H2" s="1"/>
    </row>
    <row r="3" customFormat="false" ht="25.5" hidden="false" customHeight="true" outlineLevel="0" collapsed="false">
      <c r="A3" s="6" t="s">
        <v>542</v>
      </c>
      <c r="B3" s="6"/>
      <c r="C3" s="6"/>
      <c r="D3" s="6"/>
      <c r="E3" s="6"/>
      <c r="F3" s="6"/>
      <c r="G3" s="6"/>
      <c r="H3" s="6"/>
    </row>
    <row r="5" customFormat="false" ht="30" hidden="false" customHeight="true" outlineLevel="0" collapsed="false">
      <c r="A5" s="9" t="s">
        <v>543</v>
      </c>
      <c r="B5" s="9" t="s">
        <v>544</v>
      </c>
      <c r="C5" s="9" t="s">
        <v>545</v>
      </c>
      <c r="D5" s="9" t="s">
        <v>546</v>
      </c>
      <c r="E5" s="9" t="s">
        <v>547</v>
      </c>
      <c r="F5" s="9" t="s">
        <v>548</v>
      </c>
      <c r="G5" s="9" t="s">
        <v>549</v>
      </c>
      <c r="H5" s="9" t="s">
        <v>550</v>
      </c>
    </row>
    <row r="6" customFormat="false" ht="15" hidden="false" customHeight="false" outlineLevel="0" collapsed="false">
      <c r="A6" s="10" t="s">
        <v>551</v>
      </c>
      <c r="B6" s="10" t="s">
        <v>552</v>
      </c>
      <c r="C6" s="10" t="s">
        <v>553</v>
      </c>
      <c r="D6" s="51" t="n">
        <v>4958</v>
      </c>
      <c r="E6" s="17" t="n">
        <v>350</v>
      </c>
      <c r="F6" s="17" t="n">
        <v>1735300</v>
      </c>
      <c r="G6" s="17" t="n">
        <v>150000</v>
      </c>
      <c r="H6" s="17" t="n">
        <v>1885300</v>
      </c>
    </row>
    <row r="7" customFormat="false" ht="15" hidden="false" customHeight="false" outlineLevel="0" collapsed="false">
      <c r="A7" s="10" t="s">
        <v>554</v>
      </c>
      <c r="B7" s="10" t="s">
        <v>555</v>
      </c>
      <c r="C7" s="10" t="s">
        <v>553</v>
      </c>
      <c r="D7" s="51" t="n">
        <v>6417</v>
      </c>
      <c r="E7" s="17" t="n">
        <v>350</v>
      </c>
      <c r="F7" s="17" t="n">
        <v>2245950</v>
      </c>
      <c r="G7" s="17" t="n">
        <v>720000</v>
      </c>
      <c r="H7" s="17" t="n">
        <v>2965950</v>
      </c>
    </row>
    <row r="8" customFormat="false" ht="15" hidden="false" customHeight="false" outlineLevel="0" collapsed="false">
      <c r="A8" s="10" t="s">
        <v>554</v>
      </c>
      <c r="B8" s="10" t="s">
        <v>556</v>
      </c>
      <c r="C8" s="10" t="s">
        <v>557</v>
      </c>
      <c r="D8" s="51" t="n">
        <v>2251</v>
      </c>
      <c r="E8" s="17" t="n">
        <v>5</v>
      </c>
      <c r="F8" s="17" t="n">
        <v>11255</v>
      </c>
      <c r="G8" s="17" t="n">
        <v>0</v>
      </c>
      <c r="H8" s="17" t="n">
        <v>11255</v>
      </c>
    </row>
    <row r="9" customFormat="false" ht="15" hidden="false" customHeight="false" outlineLevel="0" collapsed="false">
      <c r="A9" s="52" t="s">
        <v>558</v>
      </c>
      <c r="B9" s="37"/>
      <c r="C9" s="37"/>
      <c r="D9" s="53" t="n">
        <f aca="false">SUM(D6:D8)</f>
        <v>13626</v>
      </c>
      <c r="E9" s="37"/>
      <c r="F9" s="54" t="n">
        <f aca="false">SUM(F6:F8)</f>
        <v>3992505</v>
      </c>
      <c r="G9" s="54" t="n">
        <f aca="false">SUM(G6:G8)</f>
        <v>870000</v>
      </c>
      <c r="H9" s="54" t="n">
        <f aca="false">SUM(H6:H8)</f>
        <v>4862505</v>
      </c>
    </row>
    <row r="11" customFormat="false" ht="30" hidden="false" customHeight="true" outlineLevel="0" collapsed="false">
      <c r="A11" s="9" t="s">
        <v>559</v>
      </c>
      <c r="B11" s="9" t="s">
        <v>560</v>
      </c>
      <c r="C11" s="9" t="s">
        <v>561</v>
      </c>
      <c r="D11" s="9"/>
      <c r="E11" s="9"/>
      <c r="F11" s="9"/>
      <c r="G11" s="9"/>
      <c r="H11" s="9"/>
    </row>
    <row r="12" customFormat="false" ht="23.85" hidden="false" customHeight="true" outlineLevel="0" collapsed="false">
      <c r="A12" s="10" t="s">
        <v>562</v>
      </c>
      <c r="B12" s="17" t="n">
        <v>1885300</v>
      </c>
      <c r="C12" s="10" t="s">
        <v>563</v>
      </c>
      <c r="D12" s="10"/>
      <c r="E12" s="10"/>
      <c r="F12" s="10"/>
      <c r="G12" s="10"/>
      <c r="H12" s="10"/>
    </row>
    <row r="13" customFormat="false" ht="15" hidden="false" customHeight="true" outlineLevel="0" collapsed="false">
      <c r="A13" s="10" t="s">
        <v>564</v>
      </c>
      <c r="B13" s="17" t="n">
        <v>2977205</v>
      </c>
      <c r="C13" s="10" t="s">
        <v>565</v>
      </c>
      <c r="D13" s="10"/>
      <c r="E13" s="10"/>
      <c r="F13" s="10"/>
      <c r="G13" s="10"/>
      <c r="H13" s="10"/>
    </row>
    <row r="14" customFormat="false" ht="15" hidden="false" customHeight="true" outlineLevel="0" collapsed="false">
      <c r="A14" s="10" t="s">
        <v>566</v>
      </c>
      <c r="B14" s="17" t="n">
        <v>4862505</v>
      </c>
      <c r="C14" s="10" t="s">
        <v>567</v>
      </c>
      <c r="D14" s="10"/>
      <c r="E14" s="10"/>
      <c r="F14" s="10"/>
      <c r="G14" s="10"/>
      <c r="H14" s="10"/>
    </row>
    <row r="15" customFormat="false" ht="15" hidden="false" customHeight="true" outlineLevel="0" collapsed="false">
      <c r="A15" s="10" t="s">
        <v>568</v>
      </c>
      <c r="B15" s="17" t="n">
        <v>3992505</v>
      </c>
      <c r="C15" s="10" t="s">
        <v>569</v>
      </c>
      <c r="D15" s="10"/>
      <c r="E15" s="10"/>
      <c r="F15" s="10"/>
      <c r="G15" s="10"/>
      <c r="H15" s="10"/>
    </row>
    <row r="16" customFormat="false" ht="23.85" hidden="false" customHeight="true" outlineLevel="0" collapsed="false">
      <c r="A16" s="10" t="s">
        <v>570</v>
      </c>
      <c r="B16" s="17" t="n">
        <v>870000</v>
      </c>
      <c r="C16" s="10" t="s">
        <v>571</v>
      </c>
      <c r="D16" s="10"/>
      <c r="E16" s="10"/>
      <c r="F16" s="10"/>
      <c r="G16" s="10"/>
      <c r="H16" s="10"/>
    </row>
    <row r="17" customFormat="false" ht="15" hidden="false" customHeight="true" outlineLevel="0" collapsed="false">
      <c r="A17" s="10" t="s">
        <v>572</v>
      </c>
      <c r="B17" s="51" t="n">
        <v>11375</v>
      </c>
      <c r="C17" s="10" t="s">
        <v>573</v>
      </c>
      <c r="D17" s="10"/>
      <c r="E17" s="10"/>
      <c r="F17" s="10"/>
      <c r="G17" s="10"/>
      <c r="H17" s="10"/>
    </row>
    <row r="19" customFormat="false" ht="39" hidden="false" customHeight="true" outlineLevel="0" collapsed="false">
      <c r="A19" s="36" t="s">
        <v>574</v>
      </c>
      <c r="B19" s="36"/>
      <c r="C19" s="36"/>
      <c r="D19" s="36"/>
      <c r="E19" s="36"/>
      <c r="F19" s="36"/>
      <c r="G19" s="36"/>
      <c r="H19" s="36"/>
    </row>
  </sheetData>
  <mergeCells count="9">
    <mergeCell ref="A2:H2"/>
    <mergeCell ref="A3:H3"/>
    <mergeCell ref="C12:H12"/>
    <mergeCell ref="C13:H13"/>
    <mergeCell ref="C14:H14"/>
    <mergeCell ref="C15:H15"/>
    <mergeCell ref="C16:H16"/>
    <mergeCell ref="C17:H17"/>
    <mergeCell ref="A19:H1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6"/>
    <col collapsed="false" customWidth="true" hidden="false" outlineLevel="0" max="2" min="2" style="0" width="18"/>
    <col collapsed="false" customWidth="true" hidden="false" outlineLevel="0" max="3" min="3" style="0" width="90"/>
    <col collapsed="false" customWidth="true" hidden="false" outlineLevel="0" max="6" min="4" style="0" width="14"/>
  </cols>
  <sheetData>
    <row r="2" customFormat="false" ht="24" hidden="false" customHeight="true" outlineLevel="0" collapsed="false">
      <c r="A2" s="1" t="s">
        <v>575</v>
      </c>
      <c r="B2" s="1"/>
      <c r="C2" s="1"/>
      <c r="D2" s="1"/>
      <c r="E2" s="1"/>
      <c r="F2" s="1"/>
    </row>
    <row r="3" customFormat="false" ht="39" hidden="false" customHeight="true" outlineLevel="0" collapsed="false">
      <c r="A3" s="36" t="s">
        <v>576</v>
      </c>
      <c r="B3" s="36"/>
      <c r="C3" s="36"/>
      <c r="D3" s="36"/>
      <c r="E3" s="36"/>
      <c r="F3" s="36"/>
    </row>
    <row r="5" customFormat="false" ht="15" hidden="false" customHeight="false" outlineLevel="0" collapsed="false">
      <c r="A5" s="3" t="s">
        <v>577</v>
      </c>
      <c r="B5" s="3"/>
      <c r="C5" s="3"/>
      <c r="D5" s="3"/>
      <c r="E5" s="3"/>
      <c r="F5" s="3"/>
    </row>
    <row r="6" customFormat="false" ht="30" hidden="false" customHeight="true" outlineLevel="0" collapsed="false">
      <c r="A6" s="9" t="s">
        <v>349</v>
      </c>
      <c r="B6" s="9" t="s">
        <v>351</v>
      </c>
      <c r="C6" s="9" t="s">
        <v>578</v>
      </c>
      <c r="D6" s="9" t="s">
        <v>547</v>
      </c>
      <c r="E6" s="9"/>
      <c r="F6" s="9"/>
    </row>
    <row r="7" customFormat="false" ht="15" hidden="false" customHeight="false" outlineLevel="0" collapsed="false">
      <c r="A7" s="10" t="s">
        <v>579</v>
      </c>
      <c r="B7" s="26" t="n">
        <f aca="false">06_BKP_Kostentraeger!C16</f>
        <v>7401154.75</v>
      </c>
      <c r="C7" s="51" t="n">
        <v>11375</v>
      </c>
      <c r="D7" s="55" t="n">
        <f aca="false">B7/C7</f>
        <v>650.650967032967</v>
      </c>
      <c r="E7" s="10"/>
      <c r="F7" s="10"/>
    </row>
    <row r="8" customFormat="false" ht="15" hidden="false" customHeight="false" outlineLevel="0" collapsed="false">
      <c r="A8" s="10" t="s">
        <v>580</v>
      </c>
      <c r="B8" s="26" t="n">
        <f aca="false">06_BKP_Kostentraeger!C17</f>
        <v>2875000</v>
      </c>
      <c r="C8" s="51" t="n">
        <v>11375</v>
      </c>
      <c r="D8" s="55" t="n">
        <f aca="false">B8/C8</f>
        <v>252.747252747253</v>
      </c>
      <c r="E8" s="10"/>
      <c r="F8" s="10"/>
    </row>
    <row r="9" customFormat="false" ht="15" hidden="false" customHeight="false" outlineLevel="0" collapsed="false">
      <c r="A9" s="10" t="s">
        <v>581</v>
      </c>
      <c r="B9" s="26" t="n">
        <f aca="false">06_BKP_Kostentraeger!C18</f>
        <v>10276154.75</v>
      </c>
      <c r="C9" s="51" t="n">
        <v>11375</v>
      </c>
      <c r="D9" s="55" t="n">
        <f aca="false">B9/C9</f>
        <v>903.39821978022</v>
      </c>
      <c r="E9" s="10"/>
      <c r="F9" s="10"/>
    </row>
    <row r="11" customFormat="false" ht="15" hidden="false" customHeight="false" outlineLevel="0" collapsed="false">
      <c r="A11" s="3" t="s">
        <v>582</v>
      </c>
      <c r="B11" s="3"/>
      <c r="C11" s="3"/>
      <c r="D11" s="3"/>
      <c r="E11" s="3"/>
      <c r="F11" s="3"/>
    </row>
    <row r="12" customFormat="false" ht="30" hidden="false" customHeight="true" outlineLevel="0" collapsed="false">
      <c r="A12" s="9" t="s">
        <v>583</v>
      </c>
      <c r="B12" s="9" t="s">
        <v>547</v>
      </c>
      <c r="C12" s="9" t="s">
        <v>584</v>
      </c>
      <c r="D12" s="9" t="s">
        <v>585</v>
      </c>
      <c r="E12" s="9" t="s">
        <v>586</v>
      </c>
      <c r="F12" s="9" t="s">
        <v>561</v>
      </c>
    </row>
    <row r="13" customFormat="false" ht="91" hidden="false" customHeight="false" outlineLevel="0" collapsed="false">
      <c r="A13" s="10" t="s">
        <v>587</v>
      </c>
      <c r="B13" s="17" t="n">
        <v>800</v>
      </c>
      <c r="C13" s="26" t="n">
        <f aca="false">B13*11375</f>
        <v>9100000</v>
      </c>
      <c r="D13" s="55" t="n">
        <f aca="false">C13-$B$7</f>
        <v>1698845.25</v>
      </c>
      <c r="E13" s="56" t="str">
        <f aca="false">IF(D13&gt;=0,"gedeckt","Unterdeckung")</f>
        <v>gedeckt</v>
      </c>
      <c r="F13" s="10" t="s">
        <v>588</v>
      </c>
    </row>
    <row r="14" customFormat="false" ht="57.45" hidden="false" customHeight="false" outlineLevel="0" collapsed="false">
      <c r="A14" s="10" t="s">
        <v>589</v>
      </c>
      <c r="B14" s="17" t="n">
        <v>632.5</v>
      </c>
      <c r="C14" s="26" t="n">
        <f aca="false">B14*11375</f>
        <v>7194687.5</v>
      </c>
      <c r="D14" s="55" t="n">
        <f aca="false">C14-$B$7</f>
        <v>-206467.25</v>
      </c>
      <c r="E14" s="56" t="str">
        <f aca="false">IF(D14&gt;=0,"gedeckt","Unterdeckung")</f>
        <v>Unterdeckung</v>
      </c>
      <c r="F14" s="10" t="s">
        <v>590</v>
      </c>
    </row>
    <row r="15" customFormat="false" ht="57.45" hidden="false" customHeight="false" outlineLevel="0" collapsed="false">
      <c r="A15" s="10" t="s">
        <v>591</v>
      </c>
      <c r="B15" s="17" t="n">
        <v>480</v>
      </c>
      <c r="C15" s="26" t="n">
        <f aca="false">B15*11375</f>
        <v>5460000</v>
      </c>
      <c r="D15" s="55" t="n">
        <f aca="false">C15-$B$7</f>
        <v>-1941154.75</v>
      </c>
      <c r="E15" s="56" t="str">
        <f aca="false">IF(D15&gt;=0,"gedeckt","Unterdeckung")</f>
        <v>Unterdeckung</v>
      </c>
      <c r="F15" s="10" t="s">
        <v>592</v>
      </c>
    </row>
    <row r="17" customFormat="false" ht="78" hidden="false" customHeight="true" outlineLevel="0" collapsed="false">
      <c r="A17" s="36" t="s">
        <v>593</v>
      </c>
      <c r="B17" s="36"/>
      <c r="C17" s="36"/>
      <c r="D17" s="36"/>
      <c r="E17" s="36"/>
      <c r="F17" s="36"/>
    </row>
    <row r="19" customFormat="false" ht="15" hidden="false" customHeight="false" outlineLevel="0" collapsed="false">
      <c r="A19" s="3" t="s">
        <v>594</v>
      </c>
      <c r="B19" s="3"/>
      <c r="C19" s="3"/>
      <c r="D19" s="3"/>
      <c r="E19" s="3"/>
      <c r="F19" s="3"/>
    </row>
    <row r="20" customFormat="false" ht="30" hidden="false" customHeight="true" outlineLevel="0" collapsed="false">
      <c r="A20" s="9" t="s">
        <v>349</v>
      </c>
      <c r="B20" s="9" t="s">
        <v>351</v>
      </c>
      <c r="C20" s="9" t="s">
        <v>595</v>
      </c>
      <c r="D20" s="9"/>
      <c r="E20" s="9"/>
      <c r="F20" s="9"/>
    </row>
    <row r="21" customFormat="false" ht="15" hidden="false" customHeight="true" outlineLevel="0" collapsed="false">
      <c r="A21" s="10" t="s">
        <v>596</v>
      </c>
      <c r="B21" s="26" t="n">
        <f aca="false">B9</f>
        <v>10276154.75</v>
      </c>
      <c r="C21" s="10" t="s">
        <v>597</v>
      </c>
      <c r="D21" s="10"/>
      <c r="E21" s="10"/>
      <c r="F21" s="10"/>
    </row>
    <row r="22" customFormat="false" ht="15" hidden="false" customHeight="true" outlineLevel="0" collapsed="false">
      <c r="A22" s="10" t="s">
        <v>598</v>
      </c>
      <c r="B22" s="26" t="n">
        <f aca="false">06_BKP_Kostentraeger!C31</f>
        <v>30400954</v>
      </c>
      <c r="C22" s="10" t="s">
        <v>599</v>
      </c>
      <c r="D22" s="10"/>
      <c r="E22" s="10"/>
      <c r="F22" s="10"/>
    </row>
    <row r="23" customFormat="false" ht="15" hidden="false" customHeight="false" outlineLevel="0" collapsed="false">
      <c r="A23" s="52" t="s">
        <v>600</v>
      </c>
      <c r="B23" s="54" t="n">
        <f aca="false">SUM(B21:B22)</f>
        <v>40677108.75</v>
      </c>
      <c r="C23" s="37"/>
      <c r="D23" s="37"/>
      <c r="E23" s="37"/>
      <c r="F23" s="37"/>
    </row>
    <row r="25" customFormat="false" ht="39" hidden="false" customHeight="true" outlineLevel="0" collapsed="false">
      <c r="A25" s="6" t="s">
        <v>601</v>
      </c>
      <c r="B25" s="6"/>
      <c r="C25" s="6"/>
      <c r="D25" s="6"/>
      <c r="E25" s="6"/>
      <c r="F25" s="6"/>
    </row>
  </sheetData>
  <mergeCells count="9">
    <mergeCell ref="A2:F2"/>
    <mergeCell ref="A3:F3"/>
    <mergeCell ref="A5:F5"/>
    <mergeCell ref="A11:F11"/>
    <mergeCell ref="A17:F17"/>
    <mergeCell ref="A19:F19"/>
    <mergeCell ref="C21:F21"/>
    <mergeCell ref="C22:F22"/>
    <mergeCell ref="A25:F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2026-09-01T21:52:05Z</dcterms:created>
  <dc:creator>openpyxl</dc:creator>
  <dc:description/>
  <dc:language>en-US</dc:language>
  <cp:lastModifiedBy/>
  <dcterms:modified xsi:type="dcterms:W3CDTF">2026-09-01T21:52:06Z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